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M:\Departamento_Finanzas\SECCION PRESUPUESTO\2025\11_GLOSAS\OFICIOS\CD CRONOGRAMA DE CAJA MARZO\"/>
    </mc:Choice>
  </mc:AlternateContent>
  <xr:revisionPtr revIDLastSave="0" documentId="13_ncr:1_{A37A0F4A-0A18-4F71-92C8-34AB5F0CCCD7}" xr6:coauthVersionLast="47" xr6:coauthVersionMax="47" xr10:uidLastSave="{00000000-0000-0000-0000-000000000000}"/>
  <bookViews>
    <workbookView xWindow="28680" yWindow="-120" windowWidth="29040" windowHeight="15720" firstSheet="5" activeTab="5" xr2:uid="{00000000-000D-0000-FFFF-FFFF00000000}"/>
  </bookViews>
  <sheets>
    <sheet name="estado tramitacion " sheetId="16" state="hidden" r:id="rId1"/>
    <sheet name="PROY PROGRAMAS 24" sheetId="13" state="hidden" r:id="rId2"/>
    <sheet name="PROY 22 29 P01" sheetId="14" state="hidden" r:id="rId3"/>
    <sheet name="convenios" sheetId="15" state="hidden" r:id="rId4"/>
    <sheet name="Caja Diaria SPD  " sheetId="20" state="hidden" r:id="rId5"/>
    <sheet name="FLujo de Caja 2024CAVD" sheetId="21" r:id="rId6"/>
    <sheet name="Caja Diaria CAVD (2)" sheetId="22" state="hidden" r:id="rId7"/>
    <sheet name="Hoja1" sheetId="17" state="hidden" r:id="rId8"/>
    <sheet name="Caja Diaria SPD" sheetId="9" state="hidden" r:id="rId9"/>
    <sheet name="Hoja2" sheetId="18" state="hidden" r:id="rId10"/>
    <sheet name="Caja Diaria CAVD" sheetId="10" state="hidden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convenios!$B$2:$I$76</definedName>
    <definedName name="_xlnm._FilterDatabase" localSheetId="2" hidden="1">'PROY 22 29 P01'!$A$2:$W$250</definedName>
    <definedName name="_xlnm._FilterDatabase" localSheetId="1" hidden="1">'PROY PROGRAMAS 24'!$A$2:$X$183</definedName>
    <definedName name="años_experiencia">[1]Listas!$X$2:$X$6</definedName>
    <definedName name="Apellidos">#REF!</definedName>
    <definedName name="_xlnm.Print_Area" localSheetId="5">'FLujo de Caja 2024CAVD'!$A$1:$T$29</definedName>
    <definedName name="CC_2016">[2]Datos!$D$2:$F$67</definedName>
    <definedName name="CC_2017">[3]Datos!$B$3:$D$71</definedName>
    <definedName name="DEPTO2017">[3]Datos!$F$3:$G$18</definedName>
    <definedName name="Deptos2016">[2]Datos!$H$2:$I$16</definedName>
    <definedName name="IMPUT" localSheetId="6">#REF!</definedName>
    <definedName name="IMPUT" localSheetId="4">#REF!</definedName>
    <definedName name="IMPUT">#REF!</definedName>
    <definedName name="Imputacion2016">[4]Hoja1!$B$3:$B$12</definedName>
    <definedName name="INSUMOS">[5]DATOS!$U$2:$U$8</definedName>
    <definedName name="nivel_academico">[1]Listas!$W$2:$W$7</definedName>
    <definedName name="REGION">[1]Instituciones!$BM$2:$BM$17</definedName>
    <definedName name="Subtitulo2016">[2]Datos!$N$3:$O$8</definedName>
    <definedName name="Udemandante2016">[2]Datos!$H$2:$I$16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0" i="21" l="1"/>
  <c r="H22" i="20"/>
  <c r="J32" i="20" s="1"/>
  <c r="D7" i="22"/>
  <c r="G16" i="21" l="1"/>
  <c r="G15" i="21"/>
  <c r="F16" i="21"/>
  <c r="F15" i="21"/>
  <c r="F14" i="21"/>
  <c r="F13" i="21" s="1"/>
  <c r="G14" i="21"/>
  <c r="G13" i="21" s="1"/>
  <c r="G12" i="21"/>
  <c r="G11" i="21" s="1"/>
  <c r="G10" i="21" s="1"/>
  <c r="F11" i="21"/>
  <c r="F10" i="21" s="1"/>
  <c r="G9" i="21"/>
  <c r="F8" i="21"/>
  <c r="G8" i="21"/>
  <c r="F7" i="21"/>
  <c r="G7" i="21"/>
  <c r="G25" i="21"/>
  <c r="G26" i="21"/>
  <c r="G24" i="21"/>
  <c r="G23" i="21" s="1"/>
  <c r="G18" i="21" s="1"/>
  <c r="G22" i="21"/>
  <c r="F21" i="21"/>
  <c r="G21" i="21"/>
  <c r="G20" i="21"/>
  <c r="G19" i="21"/>
  <c r="F23" i="21"/>
  <c r="F18" i="21"/>
  <c r="F6" i="21" l="1"/>
  <c r="G6" i="21"/>
  <c r="C2" i="22" l="1"/>
  <c r="J17" i="22"/>
  <c r="T27" i="21"/>
  <c r="T26" i="21"/>
  <c r="T25" i="21"/>
  <c r="T24" i="21"/>
  <c r="S23" i="21"/>
  <c r="S16" i="21" s="1"/>
  <c r="R23" i="21"/>
  <c r="R16" i="21" s="1"/>
  <c r="Q23" i="21"/>
  <c r="Q16" i="21" s="1"/>
  <c r="P23" i="21"/>
  <c r="P16" i="21" s="1"/>
  <c r="O23" i="21"/>
  <c r="O16" i="21" s="1"/>
  <c r="N23" i="21"/>
  <c r="N16" i="21" s="1"/>
  <c r="M23" i="21"/>
  <c r="M16" i="21" s="1"/>
  <c r="L23" i="21"/>
  <c r="L16" i="21" s="1"/>
  <c r="K23" i="21"/>
  <c r="K16" i="21" s="1"/>
  <c r="J23" i="21"/>
  <c r="J16" i="21" s="1"/>
  <c r="I23" i="21"/>
  <c r="I16" i="21" s="1"/>
  <c r="H23" i="21"/>
  <c r="H16" i="21" s="1"/>
  <c r="E23" i="21"/>
  <c r="E16" i="21" s="1"/>
  <c r="T22" i="21"/>
  <c r="S21" i="21"/>
  <c r="R21" i="21"/>
  <c r="Q21" i="21"/>
  <c r="P21" i="21"/>
  <c r="O21" i="21"/>
  <c r="N21" i="21"/>
  <c r="M21" i="21"/>
  <c r="L21" i="21"/>
  <c r="K21" i="21"/>
  <c r="J21" i="21"/>
  <c r="J18" i="21" s="1"/>
  <c r="I21" i="21"/>
  <c r="I18" i="21" s="1"/>
  <c r="H21" i="21"/>
  <c r="E21" i="21"/>
  <c r="T20" i="21"/>
  <c r="T19" i="21"/>
  <c r="E18" i="21"/>
  <c r="T17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E15" i="21"/>
  <c r="T12" i="21"/>
  <c r="S11" i="21"/>
  <c r="S10" i="21" s="1"/>
  <c r="R11" i="21"/>
  <c r="R10" i="21" s="1"/>
  <c r="Q11" i="21"/>
  <c r="Q10" i="21" s="1"/>
  <c r="P11" i="21"/>
  <c r="P10" i="21" s="1"/>
  <c r="O11" i="21"/>
  <c r="O10" i="21" s="1"/>
  <c r="N11" i="21"/>
  <c r="N10" i="21" s="1"/>
  <c r="M11" i="21"/>
  <c r="M10" i="21" s="1"/>
  <c r="L11" i="21"/>
  <c r="L10" i="21" s="1"/>
  <c r="K11" i="21"/>
  <c r="K10" i="21" s="1"/>
  <c r="J11" i="21"/>
  <c r="J10" i="21" s="1"/>
  <c r="I11" i="21"/>
  <c r="I10" i="21" s="1"/>
  <c r="H11" i="21"/>
  <c r="E11" i="21"/>
  <c r="E10" i="21" s="1"/>
  <c r="T9" i="21"/>
  <c r="S8" i="21"/>
  <c r="S7" i="21" s="1"/>
  <c r="R8" i="21"/>
  <c r="R7" i="21" s="1"/>
  <c r="Q8" i="21"/>
  <c r="Q7" i="21" s="1"/>
  <c r="P8" i="21"/>
  <c r="P7" i="21" s="1"/>
  <c r="O8" i="21"/>
  <c r="O7" i="21" s="1"/>
  <c r="N8" i="21"/>
  <c r="N7" i="21" s="1"/>
  <c r="M8" i="21"/>
  <c r="M7" i="21" s="1"/>
  <c r="L8" i="21"/>
  <c r="L7" i="21" s="1"/>
  <c r="K8" i="21"/>
  <c r="K7" i="21" s="1"/>
  <c r="J8" i="21"/>
  <c r="J7" i="21" s="1"/>
  <c r="I8" i="21"/>
  <c r="I7" i="21" s="1"/>
  <c r="H8" i="21"/>
  <c r="E8" i="21"/>
  <c r="E7" i="21"/>
  <c r="T8" i="21" l="1"/>
  <c r="K18" i="21"/>
  <c r="N18" i="21"/>
  <c r="Q18" i="21"/>
  <c r="H7" i="21"/>
  <c r="T7" i="21" s="1"/>
  <c r="L18" i="21"/>
  <c r="H14" i="21"/>
  <c r="H13" i="21" s="1"/>
  <c r="H6" i="21" s="1"/>
  <c r="J24" i="22"/>
  <c r="T11" i="21"/>
  <c r="O18" i="21"/>
  <c r="R18" i="21"/>
  <c r="N14" i="21"/>
  <c r="N13" i="21" s="1"/>
  <c r="N6" i="21" s="1"/>
  <c r="N28" i="21" s="1"/>
  <c r="P18" i="21"/>
  <c r="S18" i="21"/>
  <c r="J32" i="22"/>
  <c r="J34" i="22" s="1"/>
  <c r="H18" i="21"/>
  <c r="M18" i="21"/>
  <c r="T23" i="21"/>
  <c r="R14" i="21"/>
  <c r="R13" i="21" s="1"/>
  <c r="R6" i="21" s="1"/>
  <c r="Q14" i="21"/>
  <c r="Q13" i="21" s="1"/>
  <c r="S14" i="21"/>
  <c r="S13" i="21" s="1"/>
  <c r="S6" i="21" s="1"/>
  <c r="E14" i="21"/>
  <c r="E13" i="21" s="1"/>
  <c r="E6" i="21" s="1"/>
  <c r="L14" i="21"/>
  <c r="L13" i="21" s="1"/>
  <c r="L6" i="21" s="1"/>
  <c r="L28" i="21" s="1"/>
  <c r="T15" i="21"/>
  <c r="J14" i="21"/>
  <c r="J13" i="21" s="1"/>
  <c r="P14" i="21"/>
  <c r="P13" i="21" s="1"/>
  <c r="P6" i="21" s="1"/>
  <c r="K14" i="21"/>
  <c r="K13" i="21" s="1"/>
  <c r="M14" i="21"/>
  <c r="M13" i="21" s="1"/>
  <c r="M6" i="21" s="1"/>
  <c r="M28" i="21" s="1"/>
  <c r="J6" i="21"/>
  <c r="J28" i="21" s="1"/>
  <c r="K6" i="21"/>
  <c r="K28" i="21" s="1"/>
  <c r="Q6" i="21"/>
  <c r="Q28" i="21" s="1"/>
  <c r="T16" i="21"/>
  <c r="I14" i="21"/>
  <c r="I13" i="21" s="1"/>
  <c r="I6" i="21" s="1"/>
  <c r="I28" i="21" s="1"/>
  <c r="O14" i="21"/>
  <c r="O13" i="21" s="1"/>
  <c r="O6" i="21" s="1"/>
  <c r="T21" i="21"/>
  <c r="H10" i="21"/>
  <c r="T10" i="21" s="1"/>
  <c r="O28" i="21" l="1"/>
  <c r="P28" i="21"/>
  <c r="R28" i="21"/>
  <c r="T14" i="21"/>
  <c r="T13" i="21"/>
  <c r="T18" i="21"/>
  <c r="T6" i="21" l="1"/>
  <c r="L16" i="20" l="1"/>
  <c r="J16" i="20"/>
  <c r="D7" i="20" l="1"/>
  <c r="J17" i="20" s="1"/>
  <c r="J34" i="20" s="1"/>
  <c r="C2" i="10" l="1"/>
  <c r="I6" i="18" l="1"/>
  <c r="J6" i="18" s="1"/>
  <c r="J7" i="18"/>
  <c r="J5" i="18"/>
  <c r="C3" i="18"/>
  <c r="C4" i="18"/>
  <c r="G22" i="17"/>
  <c r="J19" i="17"/>
  <c r="J20" i="17"/>
  <c r="J22" i="17"/>
  <c r="J23" i="17"/>
  <c r="J24" i="17"/>
  <c r="J25" i="17"/>
  <c r="I18" i="17"/>
  <c r="G17" i="17"/>
  <c r="F16" i="17"/>
  <c r="G16" i="17"/>
  <c r="I15" i="17"/>
  <c r="I11" i="17" s="1"/>
  <c r="F14" i="17"/>
  <c r="J14" i="17" s="1"/>
  <c r="F13" i="17"/>
  <c r="H12" i="17"/>
  <c r="I6" i="17"/>
  <c r="J6" i="17"/>
  <c r="J7" i="17"/>
  <c r="J10" i="17"/>
  <c r="J13" i="17"/>
  <c r="J16" i="17"/>
  <c r="J18" i="17"/>
  <c r="J5" i="17"/>
  <c r="H17" i="17"/>
  <c r="H15" i="17"/>
  <c r="H11" i="17" s="1"/>
  <c r="G15" i="17"/>
  <c r="J15" i="17" s="1"/>
  <c r="E15" i="17"/>
  <c r="E13" i="17"/>
  <c r="E12" i="17"/>
  <c r="E11" i="17" s="1"/>
  <c r="I9" i="17"/>
  <c r="H9" i="17"/>
  <c r="G9" i="17"/>
  <c r="F9" i="17"/>
  <c r="E9" i="17"/>
  <c r="D21" i="17"/>
  <c r="J21" i="17" s="1"/>
  <c r="D11" i="17"/>
  <c r="D9" i="17"/>
  <c r="J9" i="17" s="1"/>
  <c r="C21" i="17"/>
  <c r="C11" i="17"/>
  <c r="C9" i="17"/>
  <c r="C8" i="17"/>
  <c r="J12" i="17" l="1"/>
  <c r="G11" i="17"/>
  <c r="C4" i="17"/>
  <c r="F11" i="17"/>
  <c r="F8" i="17" s="1"/>
  <c r="J17" i="17"/>
  <c r="J11" i="17"/>
  <c r="G8" i="17"/>
  <c r="H8" i="17"/>
  <c r="E8" i="17"/>
  <c r="I8" i="17"/>
  <c r="D8" i="17"/>
  <c r="D4" i="17" s="1"/>
  <c r="J8" i="17" l="1"/>
  <c r="F26" i="9" l="1"/>
  <c r="J32" i="9" l="1"/>
  <c r="H15" i="16" l="1"/>
  <c r="M72" i="13" l="1"/>
  <c r="H3" i="14"/>
  <c r="I3" i="14"/>
  <c r="J3" i="14"/>
  <c r="K3" i="14"/>
  <c r="L3" i="14"/>
  <c r="M3" i="14"/>
  <c r="N3" i="14"/>
  <c r="O3" i="14"/>
  <c r="P3" i="14"/>
  <c r="Q3" i="14"/>
  <c r="R3" i="14"/>
  <c r="S4" i="14"/>
  <c r="T4" i="14" s="1"/>
  <c r="S5" i="14"/>
  <c r="T5" i="14" s="1"/>
  <c r="H6" i="14"/>
  <c r="J6" i="14" s="1"/>
  <c r="I7" i="14"/>
  <c r="I6" i="14" s="1"/>
  <c r="K7" i="14"/>
  <c r="M7" i="14"/>
  <c r="M6" i="14" s="1"/>
  <c r="P7" i="14"/>
  <c r="P6" i="14" s="1"/>
  <c r="Q7" i="14"/>
  <c r="Q6" i="14" s="1"/>
  <c r="L8" i="14"/>
  <c r="L9" i="14"/>
  <c r="N9" i="14"/>
  <c r="O9" i="14"/>
  <c r="O7" i="14" s="1"/>
  <c r="O6" i="14" s="1"/>
  <c r="R9" i="14"/>
  <c r="R7" i="14" s="1"/>
  <c r="R6" i="14" s="1"/>
  <c r="S10" i="14"/>
  <c r="T10" i="14" s="1"/>
  <c r="S11" i="14"/>
  <c r="T11" i="14" s="1"/>
  <c r="H12" i="14"/>
  <c r="I12" i="14"/>
  <c r="K12" i="14"/>
  <c r="J13" i="14"/>
  <c r="M13" i="14"/>
  <c r="N13" i="14"/>
  <c r="O13" i="14"/>
  <c r="P13" i="14"/>
  <c r="R13" i="14"/>
  <c r="L14" i="14"/>
  <c r="S14" i="14" s="1"/>
  <c r="T14" i="14" s="1"/>
  <c r="L15" i="14"/>
  <c r="J16" i="14"/>
  <c r="Q18" i="14" s="1"/>
  <c r="Q16" i="14" s="1"/>
  <c r="M16" i="14"/>
  <c r="N16" i="14"/>
  <c r="O16" i="14"/>
  <c r="P16" i="14"/>
  <c r="R16" i="14"/>
  <c r="L17" i="14"/>
  <c r="S17" i="14" s="1"/>
  <c r="T17" i="14" s="1"/>
  <c r="L18" i="14"/>
  <c r="H19" i="14"/>
  <c r="I19" i="14"/>
  <c r="J19" i="14"/>
  <c r="K19" i="14"/>
  <c r="L19" i="14"/>
  <c r="M19" i="14"/>
  <c r="N19" i="14"/>
  <c r="O19" i="14"/>
  <c r="P19" i="14"/>
  <c r="Q19" i="14"/>
  <c r="R19" i="14"/>
  <c r="S20" i="14"/>
  <c r="S21" i="14"/>
  <c r="T21" i="14" s="1"/>
  <c r="S22" i="14"/>
  <c r="T22" i="14" s="1"/>
  <c r="M24" i="14"/>
  <c r="N24" i="14"/>
  <c r="O24" i="14"/>
  <c r="P24" i="14"/>
  <c r="Q24" i="14"/>
  <c r="R24" i="14"/>
  <c r="L25" i="14"/>
  <c r="S25" i="14" s="1"/>
  <c r="T25" i="14" s="1"/>
  <c r="I26" i="14"/>
  <c r="K26" i="14"/>
  <c r="M26" i="14"/>
  <c r="N26" i="14"/>
  <c r="O26" i="14"/>
  <c r="P26" i="14"/>
  <c r="Q26" i="14"/>
  <c r="R26" i="14"/>
  <c r="L27" i="14"/>
  <c r="S27" i="14" s="1"/>
  <c r="T27" i="14" s="1"/>
  <c r="L28" i="14"/>
  <c r="L29" i="14"/>
  <c r="S29" i="14" s="1"/>
  <c r="T29" i="14" s="1"/>
  <c r="L30" i="14"/>
  <c r="S30" i="14" s="1"/>
  <c r="T30" i="14" s="1"/>
  <c r="L31" i="14"/>
  <c r="M31" i="14"/>
  <c r="N31" i="14"/>
  <c r="O31" i="14"/>
  <c r="P31" i="14"/>
  <c r="Q31" i="14"/>
  <c r="R31" i="14"/>
  <c r="L32" i="14"/>
  <c r="S32" i="14" s="1"/>
  <c r="T32" i="14" s="1"/>
  <c r="I33" i="14"/>
  <c r="J33" i="14" s="1"/>
  <c r="K33" i="14"/>
  <c r="M33" i="14"/>
  <c r="N33" i="14"/>
  <c r="O33" i="14"/>
  <c r="P33" i="14"/>
  <c r="Q33" i="14"/>
  <c r="L34" i="14"/>
  <c r="L33" i="14" s="1"/>
  <c r="R34" i="14"/>
  <c r="I35" i="14"/>
  <c r="J35" i="14" s="1"/>
  <c r="K35" i="14"/>
  <c r="M35" i="14"/>
  <c r="N35" i="14"/>
  <c r="O35" i="14"/>
  <c r="P35" i="14"/>
  <c r="Q35" i="14"/>
  <c r="R35" i="14"/>
  <c r="L36" i="14"/>
  <c r="L35" i="14" s="1"/>
  <c r="H37" i="14"/>
  <c r="I37" i="14"/>
  <c r="J37" i="14"/>
  <c r="K37" i="14"/>
  <c r="L37" i="14"/>
  <c r="M37" i="14"/>
  <c r="N37" i="14"/>
  <c r="O37" i="14"/>
  <c r="P37" i="14"/>
  <c r="Q37" i="14"/>
  <c r="R37" i="14"/>
  <c r="S38" i="14"/>
  <c r="T38" i="14" s="1"/>
  <c r="H39" i="14"/>
  <c r="I39" i="14"/>
  <c r="J39" i="14"/>
  <c r="K39" i="14"/>
  <c r="L39" i="14"/>
  <c r="M39" i="14"/>
  <c r="N39" i="14"/>
  <c r="O39" i="14"/>
  <c r="P39" i="14"/>
  <c r="Q39" i="14"/>
  <c r="R39" i="14"/>
  <c r="S40" i="14"/>
  <c r="T40" i="14" s="1"/>
  <c r="I41" i="14"/>
  <c r="K41" i="14"/>
  <c r="M41" i="14"/>
  <c r="N41" i="14"/>
  <c r="O41" i="14"/>
  <c r="P41" i="14"/>
  <c r="Q41" i="14"/>
  <c r="R41" i="14"/>
  <c r="H42" i="14"/>
  <c r="H41" i="14" s="1"/>
  <c r="L42" i="14"/>
  <c r="S42" i="14" s="1"/>
  <c r="T42" i="14" s="1"/>
  <c r="S43" i="14"/>
  <c r="T43" i="14" s="1"/>
  <c r="H44" i="14"/>
  <c r="I44" i="14"/>
  <c r="J44" i="14"/>
  <c r="K44" i="14"/>
  <c r="L44" i="14"/>
  <c r="N44" i="14"/>
  <c r="O44" i="14"/>
  <c r="P44" i="14"/>
  <c r="Q44" i="14"/>
  <c r="R44" i="14"/>
  <c r="S45" i="14"/>
  <c r="T45" i="14" s="1"/>
  <c r="M46" i="14"/>
  <c r="S46" i="14" s="1"/>
  <c r="T46" i="14" s="1"/>
  <c r="S47" i="14"/>
  <c r="T47" i="14" s="1"/>
  <c r="H48" i="14"/>
  <c r="I48" i="14"/>
  <c r="J48" i="14"/>
  <c r="K48" i="14"/>
  <c r="L48" i="14"/>
  <c r="S49" i="14"/>
  <c r="T49" i="14" s="1"/>
  <c r="H50" i="14"/>
  <c r="I50" i="14"/>
  <c r="K50" i="14"/>
  <c r="M50" i="14"/>
  <c r="N50" i="14"/>
  <c r="O50" i="14"/>
  <c r="P50" i="14"/>
  <c r="Q50" i="14"/>
  <c r="R50" i="14"/>
  <c r="J51" i="14"/>
  <c r="J50" i="14" s="1"/>
  <c r="L51" i="14"/>
  <c r="S51" i="14" s="1"/>
  <c r="T51" i="14" s="1"/>
  <c r="H52" i="14"/>
  <c r="I52" i="14"/>
  <c r="J52" i="14"/>
  <c r="K52" i="14"/>
  <c r="L52" i="14"/>
  <c r="M52" i="14"/>
  <c r="N52" i="14"/>
  <c r="O52" i="14"/>
  <c r="P52" i="14"/>
  <c r="Q52" i="14"/>
  <c r="R52" i="14"/>
  <c r="S53" i="14"/>
  <c r="T53" i="14" s="1"/>
  <c r="S54" i="14"/>
  <c r="T54" i="14" s="1"/>
  <c r="H55" i="14"/>
  <c r="I55" i="14"/>
  <c r="J55" i="14"/>
  <c r="K55" i="14"/>
  <c r="L55" i="14"/>
  <c r="M55" i="14"/>
  <c r="N55" i="14"/>
  <c r="O55" i="14"/>
  <c r="P55" i="14"/>
  <c r="Q55" i="14"/>
  <c r="R55" i="14"/>
  <c r="S56" i="14"/>
  <c r="T56" i="14" s="1"/>
  <c r="H57" i="14"/>
  <c r="I57" i="14"/>
  <c r="K57" i="14"/>
  <c r="L57" i="14"/>
  <c r="M57" i="14"/>
  <c r="N57" i="14"/>
  <c r="O57" i="14"/>
  <c r="P57" i="14"/>
  <c r="Q57" i="14"/>
  <c r="R57" i="14"/>
  <c r="S58" i="14"/>
  <c r="T58" i="14" s="1"/>
  <c r="S59" i="14"/>
  <c r="T59" i="14" s="1"/>
  <c r="S60" i="14"/>
  <c r="T60" i="14" s="1"/>
  <c r="H61" i="14"/>
  <c r="I61" i="14"/>
  <c r="K61" i="14"/>
  <c r="M61" i="14"/>
  <c r="N61" i="14"/>
  <c r="O61" i="14"/>
  <c r="P61" i="14"/>
  <c r="Q61" i="14"/>
  <c r="R61" i="14"/>
  <c r="J62" i="14"/>
  <c r="J61" i="14" s="1"/>
  <c r="L62" i="14"/>
  <c r="S62" i="14" s="1"/>
  <c r="T62" i="14" s="1"/>
  <c r="H63" i="14"/>
  <c r="I63" i="14"/>
  <c r="K63" i="14"/>
  <c r="L63" i="14"/>
  <c r="M63" i="14"/>
  <c r="N63" i="14"/>
  <c r="O63" i="14"/>
  <c r="P63" i="14"/>
  <c r="Q63" i="14"/>
  <c r="R63" i="14"/>
  <c r="S64" i="14"/>
  <c r="T64" i="14" s="1"/>
  <c r="S65" i="14"/>
  <c r="T65" i="14" s="1"/>
  <c r="S66" i="14"/>
  <c r="T66" i="14" s="1"/>
  <c r="S67" i="14"/>
  <c r="T67" i="14" s="1"/>
  <c r="H68" i="14"/>
  <c r="J69" i="14"/>
  <c r="S69" i="14"/>
  <c r="T69" i="14" s="1"/>
  <c r="I70" i="14"/>
  <c r="I68" i="14" s="1"/>
  <c r="K70" i="14"/>
  <c r="K68" i="14" s="1"/>
  <c r="M70" i="14"/>
  <c r="M68" i="14" s="1"/>
  <c r="N70" i="14"/>
  <c r="N68" i="14" s="1"/>
  <c r="O70" i="14"/>
  <c r="O68" i="14" s="1"/>
  <c r="P70" i="14"/>
  <c r="P68" i="14" s="1"/>
  <c r="Q70" i="14"/>
  <c r="Q68" i="14" s="1"/>
  <c r="R70" i="14"/>
  <c r="R68" i="14" s="1"/>
  <c r="L71" i="14"/>
  <c r="L70" i="14" s="1"/>
  <c r="S72" i="14"/>
  <c r="T72" i="14" s="1"/>
  <c r="H73" i="14"/>
  <c r="I73" i="14"/>
  <c r="K73" i="14"/>
  <c r="M73" i="14"/>
  <c r="N73" i="14"/>
  <c r="O73" i="14"/>
  <c r="P73" i="14"/>
  <c r="Q73" i="14"/>
  <c r="R73" i="14"/>
  <c r="J74" i="14"/>
  <c r="L74" i="14"/>
  <c r="S74" i="14" s="1"/>
  <c r="T74" i="14" s="1"/>
  <c r="J75" i="14"/>
  <c r="L75" i="14"/>
  <c r="S75" i="14" s="1"/>
  <c r="T75" i="14" s="1"/>
  <c r="H76" i="14"/>
  <c r="I76" i="14"/>
  <c r="J76" i="14"/>
  <c r="K76" i="14"/>
  <c r="L76" i="14"/>
  <c r="M76" i="14"/>
  <c r="N76" i="14"/>
  <c r="O76" i="14"/>
  <c r="P76" i="14"/>
  <c r="Q76" i="14"/>
  <c r="R76" i="14"/>
  <c r="S77" i="14"/>
  <c r="T77" i="14" s="1"/>
  <c r="S78" i="14"/>
  <c r="T78" i="14" s="1"/>
  <c r="H80" i="14"/>
  <c r="K80" i="14"/>
  <c r="M80" i="14"/>
  <c r="N80" i="14"/>
  <c r="O80" i="14"/>
  <c r="P80" i="14"/>
  <c r="Q80" i="14"/>
  <c r="R80" i="14"/>
  <c r="I81" i="14"/>
  <c r="L82" i="14"/>
  <c r="S82" i="14" s="1"/>
  <c r="T82" i="14" s="1"/>
  <c r="L83" i="14"/>
  <c r="S83" i="14" s="1"/>
  <c r="T83" i="14" s="1"/>
  <c r="I84" i="14"/>
  <c r="J84" i="14" s="1"/>
  <c r="K84" i="14"/>
  <c r="M84" i="14"/>
  <c r="N84" i="14"/>
  <c r="O84" i="14"/>
  <c r="P84" i="14"/>
  <c r="Q84" i="14"/>
  <c r="R84" i="14"/>
  <c r="L85" i="14"/>
  <c r="L86" i="14"/>
  <c r="S86" i="14" s="1"/>
  <c r="T86" i="14" s="1"/>
  <c r="I87" i="14"/>
  <c r="J87" i="14" s="1"/>
  <c r="K87" i="14"/>
  <c r="M87" i="14"/>
  <c r="N87" i="14"/>
  <c r="O87" i="14"/>
  <c r="P87" i="14"/>
  <c r="Q87" i="14"/>
  <c r="R87" i="14"/>
  <c r="L88" i="14"/>
  <c r="L89" i="14"/>
  <c r="S89" i="14" s="1"/>
  <c r="T89" i="14" s="1"/>
  <c r="H90" i="14"/>
  <c r="S90" i="14"/>
  <c r="I91" i="14"/>
  <c r="J91" i="14" s="1"/>
  <c r="K91" i="14"/>
  <c r="M91" i="14"/>
  <c r="N91" i="14"/>
  <c r="O91" i="14"/>
  <c r="P91" i="14"/>
  <c r="Q91" i="14"/>
  <c r="R91" i="14"/>
  <c r="L92" i="14"/>
  <c r="S92" i="14" s="1"/>
  <c r="T92" i="14" s="1"/>
  <c r="L93" i="14"/>
  <c r="S94" i="14"/>
  <c r="T94" i="14" s="1"/>
  <c r="I95" i="14"/>
  <c r="J95" i="14" s="1"/>
  <c r="K95" i="14"/>
  <c r="M95" i="14"/>
  <c r="N95" i="14"/>
  <c r="O95" i="14"/>
  <c r="P95" i="14"/>
  <c r="Q95" i="14"/>
  <c r="R95" i="14"/>
  <c r="L96" i="14"/>
  <c r="S96" i="14" s="1"/>
  <c r="T96" i="14" s="1"/>
  <c r="L97" i="14"/>
  <c r="I98" i="14"/>
  <c r="J98" i="14" s="1"/>
  <c r="K98" i="14"/>
  <c r="M98" i="14"/>
  <c r="N98" i="14"/>
  <c r="O98" i="14"/>
  <c r="P98" i="14"/>
  <c r="Q98" i="14"/>
  <c r="R98" i="14"/>
  <c r="L99" i="14"/>
  <c r="S99" i="14" s="1"/>
  <c r="T99" i="14" s="1"/>
  <c r="L100" i="14"/>
  <c r="H101" i="14"/>
  <c r="I101" i="14"/>
  <c r="K101" i="14"/>
  <c r="M101" i="14"/>
  <c r="O101" i="14"/>
  <c r="P101" i="14"/>
  <c r="Q101" i="14"/>
  <c r="R101" i="14"/>
  <c r="L102" i="14"/>
  <c r="L103" i="14"/>
  <c r="I104" i="14"/>
  <c r="J104" i="14" s="1"/>
  <c r="K104" i="14"/>
  <c r="M104" i="14"/>
  <c r="N104" i="14"/>
  <c r="O104" i="14"/>
  <c r="P104" i="14"/>
  <c r="Q104" i="14"/>
  <c r="R104" i="14"/>
  <c r="L105" i="14"/>
  <c r="S105" i="14" s="1"/>
  <c r="T105" i="14" s="1"/>
  <c r="L106" i="14"/>
  <c r="H107" i="14"/>
  <c r="I107" i="14"/>
  <c r="J107" i="14"/>
  <c r="K107" i="14"/>
  <c r="M107" i="14"/>
  <c r="N107" i="14"/>
  <c r="O107" i="14"/>
  <c r="P107" i="14"/>
  <c r="Q107" i="14"/>
  <c r="R107" i="14"/>
  <c r="L108" i="14"/>
  <c r="L109" i="14"/>
  <c r="S109" i="14" s="1"/>
  <c r="T109" i="14" s="1"/>
  <c r="H110" i="14"/>
  <c r="I110" i="14"/>
  <c r="J110" i="14" s="1"/>
  <c r="K110" i="14"/>
  <c r="M110" i="14"/>
  <c r="N110" i="14"/>
  <c r="O110" i="14"/>
  <c r="P110" i="14"/>
  <c r="Q110" i="14"/>
  <c r="R110" i="14"/>
  <c r="L111" i="14"/>
  <c r="S111" i="14" s="1"/>
  <c r="T111" i="14" s="1"/>
  <c r="L112" i="14"/>
  <c r="L113" i="14"/>
  <c r="S113" i="14" s="1"/>
  <c r="T113" i="14" s="1"/>
  <c r="L114" i="14"/>
  <c r="S114" i="14" s="1"/>
  <c r="T114" i="14" s="1"/>
  <c r="I115" i="14"/>
  <c r="J115" i="14" s="1"/>
  <c r="K115" i="14"/>
  <c r="M115" i="14"/>
  <c r="N115" i="14"/>
  <c r="O115" i="14"/>
  <c r="P115" i="14"/>
  <c r="Q115" i="14"/>
  <c r="R115" i="14"/>
  <c r="L116" i="14"/>
  <c r="L117" i="14"/>
  <c r="S117" i="14" s="1"/>
  <c r="T117" i="14" s="1"/>
  <c r="S118" i="14"/>
  <c r="T118" i="14" s="1"/>
  <c r="S119" i="14"/>
  <c r="T119" i="14" s="1"/>
  <c r="I120" i="14"/>
  <c r="J120" i="14" s="1"/>
  <c r="N122" i="14" s="1"/>
  <c r="N120" i="14" s="1"/>
  <c r="K120" i="14"/>
  <c r="M120" i="14"/>
  <c r="O120" i="14"/>
  <c r="P120" i="14"/>
  <c r="Q120" i="14"/>
  <c r="L121" i="14"/>
  <c r="R121" i="14"/>
  <c r="R120" i="14" s="1"/>
  <c r="L122" i="14"/>
  <c r="H123" i="14"/>
  <c r="I123" i="14"/>
  <c r="K123" i="14"/>
  <c r="M123" i="14"/>
  <c r="N123" i="14"/>
  <c r="O123" i="14"/>
  <c r="Q123" i="14"/>
  <c r="R123" i="14"/>
  <c r="L124" i="14"/>
  <c r="L125" i="14"/>
  <c r="S125" i="14" s="1"/>
  <c r="T125" i="14" s="1"/>
  <c r="I127" i="14"/>
  <c r="J127" i="14" s="1"/>
  <c r="K127" i="14"/>
  <c r="M127" i="14"/>
  <c r="N127" i="14"/>
  <c r="O127" i="14"/>
  <c r="P127" i="14"/>
  <c r="Q127" i="14"/>
  <c r="R127" i="14"/>
  <c r="L128" i="14"/>
  <c r="L129" i="14"/>
  <c r="S129" i="14" s="1"/>
  <c r="T129" i="14" s="1"/>
  <c r="L130" i="14"/>
  <c r="S130" i="14" s="1"/>
  <c r="T130" i="14" s="1"/>
  <c r="L131" i="14"/>
  <c r="S131" i="14" s="1"/>
  <c r="T131" i="14" s="1"/>
  <c r="I132" i="14"/>
  <c r="J132" i="14" s="1"/>
  <c r="K132" i="14"/>
  <c r="N132" i="14"/>
  <c r="O132" i="14"/>
  <c r="P132" i="14"/>
  <c r="Q132" i="14"/>
  <c r="R132" i="14"/>
  <c r="L133" i="14"/>
  <c r="S133" i="14" s="1"/>
  <c r="T133" i="14" s="1"/>
  <c r="L134" i="14"/>
  <c r="S134" i="14" s="1"/>
  <c r="T134" i="14" s="1"/>
  <c r="L135" i="14"/>
  <c r="S135" i="14" s="1"/>
  <c r="T135" i="14" s="1"/>
  <c r="L136" i="14"/>
  <c r="M136" i="14"/>
  <c r="S136" i="14" s="1"/>
  <c r="T136" i="14" s="1"/>
  <c r="L137" i="14"/>
  <c r="S137" i="14" s="1"/>
  <c r="T137" i="14" s="1"/>
  <c r="L138" i="14"/>
  <c r="M138" i="14"/>
  <c r="L139" i="14"/>
  <c r="S139" i="14" s="1"/>
  <c r="T139" i="14" s="1"/>
  <c r="L140" i="14"/>
  <c r="S140" i="14" s="1"/>
  <c r="T140" i="14" s="1"/>
  <c r="H141" i="14"/>
  <c r="I141" i="14"/>
  <c r="K141" i="14"/>
  <c r="M141" i="14"/>
  <c r="N141" i="14"/>
  <c r="O141" i="14"/>
  <c r="P141" i="14"/>
  <c r="Q141" i="14"/>
  <c r="R141" i="14"/>
  <c r="L142" i="14"/>
  <c r="S142" i="14" s="1"/>
  <c r="T142" i="14" s="1"/>
  <c r="L143" i="14"/>
  <c r="S143" i="14" s="1"/>
  <c r="T143" i="14" s="1"/>
  <c r="I144" i="14"/>
  <c r="J144" i="14" s="1"/>
  <c r="K144" i="14"/>
  <c r="M144" i="14"/>
  <c r="N144" i="14"/>
  <c r="O144" i="14"/>
  <c r="P144" i="14"/>
  <c r="Q144" i="14"/>
  <c r="R144" i="14"/>
  <c r="L145" i="14"/>
  <c r="S145" i="14" s="1"/>
  <c r="T145" i="14" s="1"/>
  <c r="H146" i="14"/>
  <c r="I146" i="14"/>
  <c r="K146" i="14"/>
  <c r="M146" i="14"/>
  <c r="N146" i="14"/>
  <c r="O146" i="14"/>
  <c r="P146" i="14"/>
  <c r="Q146" i="14"/>
  <c r="R146" i="14"/>
  <c r="L147" i="14"/>
  <c r="S147" i="14" s="1"/>
  <c r="T147" i="14" s="1"/>
  <c r="I148" i="14"/>
  <c r="J148" i="14" s="1"/>
  <c r="K148" i="14"/>
  <c r="M148" i="14"/>
  <c r="N148" i="14"/>
  <c r="O148" i="14"/>
  <c r="P148" i="14"/>
  <c r="Q148" i="14"/>
  <c r="R148" i="14"/>
  <c r="L149" i="14"/>
  <c r="I150" i="14"/>
  <c r="J150" i="14" s="1"/>
  <c r="K150" i="14"/>
  <c r="N150" i="14"/>
  <c r="O150" i="14"/>
  <c r="P150" i="14"/>
  <c r="Q150" i="14"/>
  <c r="R150" i="14"/>
  <c r="L151" i="14"/>
  <c r="M151" i="14"/>
  <c r="M150" i="14" s="1"/>
  <c r="L152" i="14"/>
  <c r="S152" i="14" s="1"/>
  <c r="T152" i="14" s="1"/>
  <c r="I153" i="14"/>
  <c r="J153" i="14"/>
  <c r="K153" i="14"/>
  <c r="M153" i="14"/>
  <c r="N153" i="14"/>
  <c r="O153" i="14"/>
  <c r="P153" i="14"/>
  <c r="Q153" i="14"/>
  <c r="R153" i="14"/>
  <c r="L154" i="14"/>
  <c r="S154" i="14" s="1"/>
  <c r="T154" i="14" s="1"/>
  <c r="I155" i="14"/>
  <c r="J155" i="14"/>
  <c r="K155" i="14"/>
  <c r="M155" i="14"/>
  <c r="N155" i="14"/>
  <c r="O155" i="14"/>
  <c r="P155" i="14"/>
  <c r="Q155" i="14"/>
  <c r="R155" i="14"/>
  <c r="L156" i="14"/>
  <c r="L155" i="14" s="1"/>
  <c r="I157" i="14"/>
  <c r="J157" i="14" s="1"/>
  <c r="K157" i="14"/>
  <c r="M157" i="14"/>
  <c r="N157" i="14"/>
  <c r="O157" i="14"/>
  <c r="P157" i="14"/>
  <c r="Q157" i="14"/>
  <c r="R157" i="14"/>
  <c r="L158" i="14"/>
  <c r="L159" i="14"/>
  <c r="S159" i="14" s="1"/>
  <c r="T159" i="14" s="1"/>
  <c r="I160" i="14"/>
  <c r="J160" i="14" s="1"/>
  <c r="K160" i="14"/>
  <c r="M160" i="14"/>
  <c r="N160" i="14"/>
  <c r="O160" i="14"/>
  <c r="P160" i="14"/>
  <c r="Q160" i="14"/>
  <c r="R160" i="14"/>
  <c r="L161" i="14"/>
  <c r="S161" i="14" s="1"/>
  <c r="T161" i="14" s="1"/>
  <c r="L162" i="14"/>
  <c r="S162" i="14" s="1"/>
  <c r="T162" i="14" s="1"/>
  <c r="H163" i="14"/>
  <c r="J163" i="14"/>
  <c r="S163" i="14"/>
  <c r="H164" i="14"/>
  <c r="I165" i="14"/>
  <c r="J165" i="14" s="1"/>
  <c r="K165" i="14"/>
  <c r="M165" i="14"/>
  <c r="N165" i="14"/>
  <c r="O165" i="14"/>
  <c r="P165" i="14"/>
  <c r="Q165" i="14"/>
  <c r="R165" i="14"/>
  <c r="L166" i="14"/>
  <c r="S166" i="14" s="1"/>
  <c r="T166" i="14" s="1"/>
  <c r="L167" i="14"/>
  <c r="S167" i="14" s="1"/>
  <c r="T167" i="14" s="1"/>
  <c r="L168" i="14"/>
  <c r="S168" i="14" s="1"/>
  <c r="T168" i="14" s="1"/>
  <c r="L169" i="14"/>
  <c r="S169" i="14" s="1"/>
  <c r="T169" i="14" s="1"/>
  <c r="I170" i="14"/>
  <c r="J170" i="14" s="1"/>
  <c r="K170" i="14"/>
  <c r="M170" i="14"/>
  <c r="N170" i="14"/>
  <c r="O170" i="14"/>
  <c r="P170" i="14"/>
  <c r="Q170" i="14"/>
  <c r="R170" i="14"/>
  <c r="L171" i="14"/>
  <c r="S171" i="14" s="1"/>
  <c r="T171" i="14" s="1"/>
  <c r="H172" i="14"/>
  <c r="I172" i="14"/>
  <c r="J172" i="14"/>
  <c r="K172" i="14"/>
  <c r="L172" i="14"/>
  <c r="M172" i="14"/>
  <c r="N172" i="14"/>
  <c r="O172" i="14"/>
  <c r="P172" i="14"/>
  <c r="Q172" i="14"/>
  <c r="R172" i="14"/>
  <c r="S173" i="14"/>
  <c r="T173" i="14" s="1"/>
  <c r="S174" i="14"/>
  <c r="T174" i="14" s="1"/>
  <c r="S175" i="14"/>
  <c r="T175" i="14" s="1"/>
  <c r="M177" i="14"/>
  <c r="N177" i="14"/>
  <c r="P177" i="14"/>
  <c r="Q177" i="14"/>
  <c r="R177" i="14"/>
  <c r="L178" i="14"/>
  <c r="S178" i="14" s="1"/>
  <c r="T178" i="14" s="1"/>
  <c r="L179" i="14"/>
  <c r="O179" i="14"/>
  <c r="O177" i="14" s="1"/>
  <c r="I180" i="14"/>
  <c r="J180" i="14" s="1"/>
  <c r="Q183" i="14" s="1"/>
  <c r="Q180" i="14" s="1"/>
  <c r="K180" i="14"/>
  <c r="N180" i="14"/>
  <c r="O180" i="14"/>
  <c r="P180" i="14"/>
  <c r="R180" i="14"/>
  <c r="L181" i="14"/>
  <c r="S181" i="14" s="1"/>
  <c r="T181" i="14" s="1"/>
  <c r="L182" i="14"/>
  <c r="M182" i="14"/>
  <c r="M180" i="14" s="1"/>
  <c r="L183" i="14"/>
  <c r="I184" i="14"/>
  <c r="J184" i="14" s="1"/>
  <c r="Q186" i="14" s="1"/>
  <c r="Q184" i="14" s="1"/>
  <c r="K184" i="14"/>
  <c r="M184" i="14"/>
  <c r="N184" i="14"/>
  <c r="O184" i="14"/>
  <c r="P184" i="14"/>
  <c r="R184" i="14"/>
  <c r="L185" i="14"/>
  <c r="L184" i="14" s="1"/>
  <c r="S186" i="14"/>
  <c r="T186" i="14" s="1"/>
  <c r="J187" i="14"/>
  <c r="M187" i="14"/>
  <c r="N187" i="14"/>
  <c r="O187" i="14"/>
  <c r="P187" i="14"/>
  <c r="Q187" i="14"/>
  <c r="R187" i="14"/>
  <c r="L188" i="14"/>
  <c r="S188" i="14" s="1"/>
  <c r="T188" i="14" s="1"/>
  <c r="L189" i="14"/>
  <c r="S189" i="14" s="1"/>
  <c r="T189" i="14" s="1"/>
  <c r="L190" i="14"/>
  <c r="S190" i="14" s="1"/>
  <c r="T190" i="14" s="1"/>
  <c r="L191" i="14"/>
  <c r="S191" i="14" s="1"/>
  <c r="T191" i="14" s="1"/>
  <c r="I192" i="14"/>
  <c r="J192" i="14" s="1"/>
  <c r="K192" i="14"/>
  <c r="L192" i="14"/>
  <c r="M192" i="14"/>
  <c r="N192" i="14"/>
  <c r="O192" i="14"/>
  <c r="P192" i="14"/>
  <c r="Q192" i="14"/>
  <c r="R192" i="14"/>
  <c r="S193" i="14"/>
  <c r="T193" i="14" s="1"/>
  <c r="I194" i="14"/>
  <c r="J194" i="14" s="1"/>
  <c r="K194" i="14"/>
  <c r="M194" i="14"/>
  <c r="N194" i="14"/>
  <c r="O194" i="14"/>
  <c r="P194" i="14"/>
  <c r="Q194" i="14"/>
  <c r="R194" i="14"/>
  <c r="L195" i="14"/>
  <c r="J196" i="14"/>
  <c r="M196" i="14"/>
  <c r="N196" i="14"/>
  <c r="O196" i="14"/>
  <c r="P196" i="14"/>
  <c r="Q196" i="14"/>
  <c r="R196" i="14"/>
  <c r="S197" i="14"/>
  <c r="T197" i="14" s="1"/>
  <c r="L198" i="14"/>
  <c r="S198" i="14" s="1"/>
  <c r="T198" i="14" s="1"/>
  <c r="L199" i="14"/>
  <c r="S199" i="14" s="1"/>
  <c r="T199" i="14" s="1"/>
  <c r="L200" i="14"/>
  <c r="S200" i="14" s="1"/>
  <c r="T200" i="14" s="1"/>
  <c r="S201" i="14"/>
  <c r="T201" i="14" s="1"/>
  <c r="L202" i="14"/>
  <c r="S202" i="14" s="1"/>
  <c r="T202" i="14" s="1"/>
  <c r="L203" i="14"/>
  <c r="S203" i="14" s="1"/>
  <c r="T203" i="14" s="1"/>
  <c r="H204" i="14"/>
  <c r="I205" i="14"/>
  <c r="J205" i="14" s="1"/>
  <c r="K205" i="14"/>
  <c r="M205" i="14"/>
  <c r="N205" i="14"/>
  <c r="O205" i="14"/>
  <c r="P205" i="14"/>
  <c r="Q205" i="14"/>
  <c r="R205" i="14"/>
  <c r="L206" i="14"/>
  <c r="S207" i="14"/>
  <c r="T207" i="14" s="1"/>
  <c r="L208" i="14"/>
  <c r="S208" i="14"/>
  <c r="T208" i="14" s="1"/>
  <c r="I209" i="14"/>
  <c r="J209" i="14" s="1"/>
  <c r="K209" i="14"/>
  <c r="M209" i="14"/>
  <c r="N209" i="14"/>
  <c r="O209" i="14"/>
  <c r="P209" i="14"/>
  <c r="Q209" i="14"/>
  <c r="R209" i="14"/>
  <c r="L210" i="14"/>
  <c r="S210" i="14" s="1"/>
  <c r="T210" i="14" s="1"/>
  <c r="I211" i="14"/>
  <c r="J211" i="14" s="1"/>
  <c r="K211" i="14"/>
  <c r="M211" i="14"/>
  <c r="N211" i="14"/>
  <c r="O211" i="14"/>
  <c r="P211" i="14"/>
  <c r="Q211" i="14"/>
  <c r="R211" i="14"/>
  <c r="L212" i="14"/>
  <c r="S212" i="14" s="1"/>
  <c r="T212" i="14" s="1"/>
  <c r="L213" i="14"/>
  <c r="S213" i="14" s="1"/>
  <c r="T213" i="14" s="1"/>
  <c r="I214" i="14"/>
  <c r="J214" i="14" s="1"/>
  <c r="K214" i="14"/>
  <c r="M214" i="14"/>
  <c r="N214" i="14"/>
  <c r="O214" i="14"/>
  <c r="P214" i="14"/>
  <c r="Q214" i="14"/>
  <c r="R214" i="14"/>
  <c r="L215" i="14"/>
  <c r="L214" i="14" s="1"/>
  <c r="H216" i="14"/>
  <c r="I216" i="14"/>
  <c r="J216" i="14"/>
  <c r="K216" i="14"/>
  <c r="L216" i="14"/>
  <c r="M216" i="14"/>
  <c r="N216" i="14"/>
  <c r="O216" i="14"/>
  <c r="P216" i="14"/>
  <c r="Q216" i="14"/>
  <c r="R216" i="14"/>
  <c r="S217" i="14"/>
  <c r="T217" i="14" s="1"/>
  <c r="S218" i="14"/>
  <c r="T218" i="14" s="1"/>
  <c r="H219" i="14"/>
  <c r="I220" i="14"/>
  <c r="K220" i="14"/>
  <c r="M220" i="14"/>
  <c r="N220" i="14"/>
  <c r="O220" i="14"/>
  <c r="P220" i="14"/>
  <c r="Q220" i="14"/>
  <c r="R220" i="14"/>
  <c r="L221" i="14"/>
  <c r="L220" i="14" s="1"/>
  <c r="S222" i="14"/>
  <c r="T222" i="14" s="1"/>
  <c r="S223" i="14"/>
  <c r="T223" i="14" s="1"/>
  <c r="S224" i="14"/>
  <c r="T224" i="14" s="1"/>
  <c r="I225" i="14"/>
  <c r="J225" i="14" s="1"/>
  <c r="K225" i="14"/>
  <c r="M225" i="14"/>
  <c r="N225" i="14"/>
  <c r="O225" i="14"/>
  <c r="P225" i="14"/>
  <c r="Q225" i="14"/>
  <c r="R225" i="14"/>
  <c r="L226" i="14"/>
  <c r="L227" i="14"/>
  <c r="S227" i="14" s="1"/>
  <c r="T227" i="14" s="1"/>
  <c r="L228" i="14"/>
  <c r="S228" i="14" s="1"/>
  <c r="T228" i="14" s="1"/>
  <c r="L229" i="14"/>
  <c r="S229" i="14" s="1"/>
  <c r="T229" i="14" s="1"/>
  <c r="L230" i="14"/>
  <c r="S230" i="14" s="1"/>
  <c r="T230" i="14" s="1"/>
  <c r="L231" i="14"/>
  <c r="S231" i="14" s="1"/>
  <c r="T231" i="14" s="1"/>
  <c r="L232" i="14"/>
  <c r="S232" i="14" s="1"/>
  <c r="T232" i="14" s="1"/>
  <c r="L233" i="14"/>
  <c r="S233" i="14" s="1"/>
  <c r="T233" i="14" s="1"/>
  <c r="L234" i="14"/>
  <c r="S234" i="14" s="1"/>
  <c r="T234" i="14" s="1"/>
  <c r="L235" i="14"/>
  <c r="S235" i="14" s="1"/>
  <c r="T235" i="14" s="1"/>
  <c r="L236" i="14"/>
  <c r="S236" i="14" s="1"/>
  <c r="T236" i="14" s="1"/>
  <c r="I237" i="14"/>
  <c r="J237" i="14" s="1"/>
  <c r="K237" i="14"/>
  <c r="M237" i="14"/>
  <c r="N237" i="14"/>
  <c r="P237" i="14"/>
  <c r="Q237" i="14"/>
  <c r="R237" i="14"/>
  <c r="L238" i="14"/>
  <c r="S238" i="14" s="1"/>
  <c r="T238" i="14" s="1"/>
  <c r="O239" i="14"/>
  <c r="O237" i="14" s="1"/>
  <c r="H240" i="14"/>
  <c r="I240" i="14"/>
  <c r="J240" i="14"/>
  <c r="K240" i="14"/>
  <c r="L240" i="14"/>
  <c r="M240" i="14"/>
  <c r="N240" i="14"/>
  <c r="O240" i="14"/>
  <c r="P240" i="14"/>
  <c r="Q240" i="14"/>
  <c r="R240" i="14"/>
  <c r="S241" i="14"/>
  <c r="S240" i="14" s="1"/>
  <c r="H242" i="14"/>
  <c r="I242" i="14"/>
  <c r="J242" i="14"/>
  <c r="K242" i="14"/>
  <c r="L242" i="14"/>
  <c r="M242" i="14"/>
  <c r="N242" i="14"/>
  <c r="O242" i="14"/>
  <c r="P242" i="14"/>
  <c r="Q242" i="14"/>
  <c r="R242" i="14"/>
  <c r="S243" i="14"/>
  <c r="S242" i="14" s="1"/>
  <c r="H244" i="14"/>
  <c r="I244" i="14"/>
  <c r="J244" i="14"/>
  <c r="K244" i="14"/>
  <c r="L244" i="14"/>
  <c r="M244" i="14"/>
  <c r="N244" i="14"/>
  <c r="O244" i="14"/>
  <c r="P244" i="14"/>
  <c r="Q244" i="14"/>
  <c r="R244" i="14"/>
  <c r="S245" i="14"/>
  <c r="T245" i="14" s="1"/>
  <c r="T244" i="14" s="1"/>
  <c r="H246" i="14"/>
  <c r="I246" i="14"/>
  <c r="J246" i="14"/>
  <c r="K246" i="14"/>
  <c r="L246" i="14"/>
  <c r="M246" i="14"/>
  <c r="N246" i="14"/>
  <c r="O246" i="14"/>
  <c r="P246" i="14"/>
  <c r="Q246" i="14"/>
  <c r="R246" i="14"/>
  <c r="S247" i="14"/>
  <c r="T247" i="14" s="1"/>
  <c r="T246" i="14" s="1"/>
  <c r="H248" i="14"/>
  <c r="I248" i="14"/>
  <c r="J248" i="14"/>
  <c r="K248" i="14"/>
  <c r="L248" i="14"/>
  <c r="M248" i="14"/>
  <c r="N248" i="14"/>
  <c r="O248" i="14"/>
  <c r="P248" i="14"/>
  <c r="Q248" i="14"/>
  <c r="R248" i="14"/>
  <c r="S249" i="14"/>
  <c r="T249" i="14" s="1"/>
  <c r="S250" i="14"/>
  <c r="T250" i="14" s="1"/>
  <c r="H1" i="13"/>
  <c r="S3" i="13"/>
  <c r="T3" i="13" s="1"/>
  <c r="S4" i="13"/>
  <c r="M5" i="13"/>
  <c r="N5" i="13"/>
  <c r="P5" i="13"/>
  <c r="Q5" i="13"/>
  <c r="R5" i="13"/>
  <c r="L6" i="13"/>
  <c r="L7" i="13"/>
  <c r="S7" i="13" s="1"/>
  <c r="T7" i="13" s="1"/>
  <c r="L8" i="13"/>
  <c r="S8" i="13" s="1"/>
  <c r="T8" i="13" s="1"/>
  <c r="L9" i="13"/>
  <c r="S9" i="13" s="1"/>
  <c r="T9" i="13" s="1"/>
  <c r="O10" i="13"/>
  <c r="S10" i="13" s="1"/>
  <c r="T10" i="13" s="1"/>
  <c r="M11" i="13"/>
  <c r="N11" i="13"/>
  <c r="P11" i="13"/>
  <c r="Q11" i="13"/>
  <c r="R11" i="13"/>
  <c r="L12" i="13"/>
  <c r="S12" i="13" s="1"/>
  <c r="T12" i="13" s="1"/>
  <c r="L13" i="13"/>
  <c r="S13" i="13" s="1"/>
  <c r="T13" i="13" s="1"/>
  <c r="L14" i="13"/>
  <c r="O14" i="13"/>
  <c r="O15" i="13" s="1"/>
  <c r="L15" i="13"/>
  <c r="S16" i="13"/>
  <c r="T16" i="13" s="1"/>
  <c r="S17" i="13"/>
  <c r="T17" i="13" s="1"/>
  <c r="R18" i="13"/>
  <c r="K19" i="13"/>
  <c r="L19" i="13" s="1"/>
  <c r="S19" i="13" s="1"/>
  <c r="T19" i="13" s="1"/>
  <c r="L20" i="13"/>
  <c r="S20" i="13" s="1"/>
  <c r="T20" i="13" s="1"/>
  <c r="L21" i="13"/>
  <c r="S21" i="13" s="1"/>
  <c r="T21" i="13" s="1"/>
  <c r="L22" i="13"/>
  <c r="S22" i="13" s="1"/>
  <c r="T22" i="13" s="1"/>
  <c r="L23" i="13"/>
  <c r="S23" i="13" s="1"/>
  <c r="T23" i="13" s="1"/>
  <c r="L24" i="13"/>
  <c r="M24" i="13"/>
  <c r="M18" i="13" s="1"/>
  <c r="N24" i="13"/>
  <c r="N18" i="13" s="1"/>
  <c r="O24" i="13"/>
  <c r="O18" i="13" s="1"/>
  <c r="P24" i="13"/>
  <c r="P18" i="13" s="1"/>
  <c r="Q24" i="13"/>
  <c r="L25" i="13"/>
  <c r="Q25" i="13"/>
  <c r="M26" i="13"/>
  <c r="N26" i="13"/>
  <c r="O26" i="13"/>
  <c r="P26" i="13"/>
  <c r="Q26" i="13"/>
  <c r="R26" i="13"/>
  <c r="L27" i="13"/>
  <c r="S27" i="13" s="1"/>
  <c r="T27" i="13" s="1"/>
  <c r="M28" i="13"/>
  <c r="N28" i="13"/>
  <c r="O28" i="13"/>
  <c r="Q28" i="13"/>
  <c r="R28" i="13"/>
  <c r="L29" i="13"/>
  <c r="S29" i="13" s="1"/>
  <c r="T29" i="13" s="1"/>
  <c r="L30" i="13"/>
  <c r="S30" i="13" s="1"/>
  <c r="T30" i="13" s="1"/>
  <c r="L31" i="13"/>
  <c r="S31" i="13" s="1"/>
  <c r="T31" i="13" s="1"/>
  <c r="L32" i="13"/>
  <c r="S32" i="13" s="1"/>
  <c r="T32" i="13" s="1"/>
  <c r="L33" i="13"/>
  <c r="S33" i="13" s="1"/>
  <c r="T33" i="13" s="1"/>
  <c r="L34" i="13"/>
  <c r="S34" i="13" s="1"/>
  <c r="T34" i="13" s="1"/>
  <c r="L35" i="13"/>
  <c r="S35" i="13" s="1"/>
  <c r="T35" i="13" s="1"/>
  <c r="L36" i="13"/>
  <c r="S36" i="13" s="1"/>
  <c r="T36" i="13" s="1"/>
  <c r="L37" i="13"/>
  <c r="P37" i="13"/>
  <c r="P28" i="13" s="1"/>
  <c r="M38" i="13"/>
  <c r="N38" i="13"/>
  <c r="O38" i="13"/>
  <c r="P38" i="13"/>
  <c r="Q38" i="13"/>
  <c r="R38" i="13"/>
  <c r="L39" i="13"/>
  <c r="S39" i="13" s="1"/>
  <c r="T39" i="13" s="1"/>
  <c r="S40" i="13"/>
  <c r="T40" i="13" s="1"/>
  <c r="S41" i="13"/>
  <c r="T41" i="13" s="1"/>
  <c r="M42" i="13"/>
  <c r="N42" i="13"/>
  <c r="O42" i="13"/>
  <c r="Q42" i="13"/>
  <c r="R42" i="13"/>
  <c r="L43" i="13"/>
  <c r="S43" i="13" s="1"/>
  <c r="T43" i="13" s="1"/>
  <c r="L44" i="13"/>
  <c r="S44" i="13" s="1"/>
  <c r="T44" i="13" s="1"/>
  <c r="L45" i="13"/>
  <c r="S45" i="13" s="1"/>
  <c r="T45" i="13" s="1"/>
  <c r="L46" i="13"/>
  <c r="S46" i="13" s="1"/>
  <c r="T46" i="13" s="1"/>
  <c r="L47" i="13"/>
  <c r="S47" i="13" s="1"/>
  <c r="T47" i="13" s="1"/>
  <c r="L48" i="13"/>
  <c r="S48" i="13" s="1"/>
  <c r="T48" i="13" s="1"/>
  <c r="L49" i="13"/>
  <c r="S49" i="13" s="1"/>
  <c r="T49" i="13" s="1"/>
  <c r="L50" i="13"/>
  <c r="P50" i="13"/>
  <c r="L51" i="13"/>
  <c r="S51" i="13" s="1"/>
  <c r="T51" i="13" s="1"/>
  <c r="L52" i="13"/>
  <c r="S52" i="13" s="1"/>
  <c r="T52" i="13" s="1"/>
  <c r="L53" i="13"/>
  <c r="S53" i="13" s="1"/>
  <c r="T53" i="13" s="1"/>
  <c r="L54" i="13"/>
  <c r="S54" i="13" s="1"/>
  <c r="T54" i="13" s="1"/>
  <c r="L55" i="13"/>
  <c r="S55" i="13" s="1"/>
  <c r="T55" i="13" s="1"/>
  <c r="L56" i="13"/>
  <c r="S56" i="13" s="1"/>
  <c r="T56" i="13" s="1"/>
  <c r="L57" i="13"/>
  <c r="S57" i="13" s="1"/>
  <c r="T57" i="13" s="1"/>
  <c r="L58" i="13"/>
  <c r="S58" i="13" s="1"/>
  <c r="T58" i="13" s="1"/>
  <c r="L59" i="13"/>
  <c r="P59" i="13"/>
  <c r="P42" i="13" s="1"/>
  <c r="K60" i="13"/>
  <c r="M60" i="13"/>
  <c r="N60" i="13"/>
  <c r="O60" i="13"/>
  <c r="Q60" i="13"/>
  <c r="R60" i="13"/>
  <c r="L61" i="13"/>
  <c r="I62" i="13"/>
  <c r="I60" i="13" s="1"/>
  <c r="J60" i="13" s="1"/>
  <c r="P61" i="13" s="1"/>
  <c r="P60" i="13" s="1"/>
  <c r="S62" i="13"/>
  <c r="L63" i="13"/>
  <c r="S63" i="13" s="1"/>
  <c r="T63" i="13" s="1"/>
  <c r="S64" i="13"/>
  <c r="T64" i="13" s="1"/>
  <c r="S65" i="13"/>
  <c r="T65" i="13" s="1"/>
  <c r="M66" i="13"/>
  <c r="N66" i="13"/>
  <c r="O66" i="13"/>
  <c r="P66" i="13"/>
  <c r="R66" i="13"/>
  <c r="K67" i="13"/>
  <c r="L67" i="13" s="1"/>
  <c r="S67" i="13" s="1"/>
  <c r="T67" i="13" s="1"/>
  <c r="L68" i="13"/>
  <c r="S68" i="13" s="1"/>
  <c r="T68" i="13" s="1"/>
  <c r="L69" i="13"/>
  <c r="S69" i="13" s="1"/>
  <c r="T69" i="13" s="1"/>
  <c r="L70" i="13"/>
  <c r="S70" i="13" s="1"/>
  <c r="T70" i="13" s="1"/>
  <c r="L71" i="13"/>
  <c r="S71" i="13" s="1"/>
  <c r="T71" i="13" s="1"/>
  <c r="L72" i="13"/>
  <c r="L73" i="13"/>
  <c r="S73" i="13" s="1"/>
  <c r="T73" i="13" s="1"/>
  <c r="L74" i="13"/>
  <c r="S74" i="13" s="1"/>
  <c r="T74" i="13" s="1"/>
  <c r="L75" i="13"/>
  <c r="S75" i="13" s="1"/>
  <c r="T75" i="13" s="1"/>
  <c r="L76" i="13"/>
  <c r="Q76" i="13"/>
  <c r="Q66" i="13" s="1"/>
  <c r="H77" i="13"/>
  <c r="M77" i="13"/>
  <c r="N77" i="13"/>
  <c r="O77" i="13"/>
  <c r="P77" i="13"/>
  <c r="Q77" i="13"/>
  <c r="R77" i="13"/>
  <c r="L78" i="13"/>
  <c r="S78" i="13" s="1"/>
  <c r="T78" i="13" s="1"/>
  <c r="M79" i="13"/>
  <c r="N79" i="13"/>
  <c r="P79" i="13"/>
  <c r="Q79" i="13"/>
  <c r="R79" i="13"/>
  <c r="L80" i="13"/>
  <c r="S80" i="13" s="1"/>
  <c r="T80" i="13" s="1"/>
  <c r="L81" i="13"/>
  <c r="O81" i="13"/>
  <c r="O79" i="13" s="1"/>
  <c r="S82" i="13"/>
  <c r="T82" i="13" s="1"/>
  <c r="S83" i="13"/>
  <c r="T83" i="13" s="1"/>
  <c r="N84" i="13"/>
  <c r="O84" i="13"/>
  <c r="Q84" i="13"/>
  <c r="R84" i="13"/>
  <c r="K85" i="13"/>
  <c r="L86" i="13"/>
  <c r="S86" i="13" s="1"/>
  <c r="T86" i="13" s="1"/>
  <c r="I87" i="13"/>
  <c r="L88" i="13"/>
  <c r="S88" i="13" s="1"/>
  <c r="T88" i="13" s="1"/>
  <c r="L89" i="13"/>
  <c r="S89" i="13" s="1"/>
  <c r="T89" i="13" s="1"/>
  <c r="L90" i="13"/>
  <c r="M90" i="13"/>
  <c r="M84" i="13" s="1"/>
  <c r="P91" i="13"/>
  <c r="P84" i="13" s="1"/>
  <c r="M92" i="13"/>
  <c r="N92" i="13"/>
  <c r="O92" i="13"/>
  <c r="P92" i="13"/>
  <c r="Q92" i="13"/>
  <c r="R92" i="13"/>
  <c r="S93" i="13"/>
  <c r="T93" i="13" s="1"/>
  <c r="I94" i="13"/>
  <c r="J94" i="13" s="1"/>
  <c r="P95" i="13" s="1"/>
  <c r="P94" i="13" s="1"/>
  <c r="K94" i="13"/>
  <c r="M94" i="13"/>
  <c r="N94" i="13"/>
  <c r="O94" i="13"/>
  <c r="Q94" i="13"/>
  <c r="R94" i="13"/>
  <c r="L95" i="13"/>
  <c r="S96" i="13"/>
  <c r="T96" i="13" s="1"/>
  <c r="L97" i="13"/>
  <c r="S97" i="13" s="1"/>
  <c r="T97" i="13" s="1"/>
  <c r="X97" i="13"/>
  <c r="L98" i="13"/>
  <c r="S98" i="13" s="1"/>
  <c r="T98" i="13" s="1"/>
  <c r="X98" i="13"/>
  <c r="L99" i="13"/>
  <c r="S99" i="13" s="1"/>
  <c r="T99" i="13" s="1"/>
  <c r="X99" i="13"/>
  <c r="L100" i="13"/>
  <c r="S100" i="13" s="1"/>
  <c r="T100" i="13" s="1"/>
  <c r="X100" i="13"/>
  <c r="L101" i="13"/>
  <c r="S101" i="13" s="1"/>
  <c r="T101" i="13" s="1"/>
  <c r="X101" i="13"/>
  <c r="L102" i="13"/>
  <c r="S102" i="13" s="1"/>
  <c r="T102" i="13" s="1"/>
  <c r="L103" i="13"/>
  <c r="S103" i="13" s="1"/>
  <c r="T103" i="13" s="1"/>
  <c r="L104" i="13"/>
  <c r="S104" i="13" s="1"/>
  <c r="T104" i="13" s="1"/>
  <c r="L105" i="13"/>
  <c r="S105" i="13" s="1"/>
  <c r="T105" i="13" s="1"/>
  <c r="L106" i="13"/>
  <c r="S106" i="13" s="1"/>
  <c r="T106" i="13" s="1"/>
  <c r="L107" i="13"/>
  <c r="S107" i="13" s="1"/>
  <c r="T107" i="13" s="1"/>
  <c r="L108" i="13"/>
  <c r="S108" i="13" s="1"/>
  <c r="T108" i="13" s="1"/>
  <c r="L109" i="13"/>
  <c r="S109" i="13" s="1"/>
  <c r="T109" i="13" s="1"/>
  <c r="L110" i="13"/>
  <c r="S110" i="13" s="1"/>
  <c r="T110" i="13" s="1"/>
  <c r="L111" i="13"/>
  <c r="S111" i="13" s="1"/>
  <c r="T111" i="13" s="1"/>
  <c r="L112" i="13"/>
  <c r="S112" i="13" s="1"/>
  <c r="T112" i="13" s="1"/>
  <c r="L113" i="13"/>
  <c r="S113" i="13" s="1"/>
  <c r="T113" i="13" s="1"/>
  <c r="L114" i="13"/>
  <c r="S114" i="13" s="1"/>
  <c r="T114" i="13" s="1"/>
  <c r="L115" i="13"/>
  <c r="S115" i="13" s="1"/>
  <c r="T115" i="13" s="1"/>
  <c r="L116" i="13"/>
  <c r="S116" i="13" s="1"/>
  <c r="T116" i="13" s="1"/>
  <c r="L117" i="13"/>
  <c r="S117" i="13" s="1"/>
  <c r="T117" i="13" s="1"/>
  <c r="L118" i="13"/>
  <c r="S118" i="13" s="1"/>
  <c r="T118" i="13" s="1"/>
  <c r="L119" i="13"/>
  <c r="S119" i="13" s="1"/>
  <c r="T119" i="13" s="1"/>
  <c r="L120" i="13"/>
  <c r="S120" i="13" s="1"/>
  <c r="T120" i="13" s="1"/>
  <c r="L121" i="13"/>
  <c r="S121" i="13" s="1"/>
  <c r="T121" i="13" s="1"/>
  <c r="L122" i="13"/>
  <c r="S122" i="13" s="1"/>
  <c r="T122" i="13" s="1"/>
  <c r="L123" i="13"/>
  <c r="S123" i="13" s="1"/>
  <c r="T123" i="13" s="1"/>
  <c r="L124" i="13"/>
  <c r="S124" i="13" s="1"/>
  <c r="T124" i="13" s="1"/>
  <c r="L125" i="13"/>
  <c r="S125" i="13" s="1"/>
  <c r="T125" i="13" s="1"/>
  <c r="L126" i="13"/>
  <c r="S126" i="13" s="1"/>
  <c r="T126" i="13" s="1"/>
  <c r="L127" i="13"/>
  <c r="S127" i="13" s="1"/>
  <c r="T127" i="13" s="1"/>
  <c r="L128" i="13"/>
  <c r="S128" i="13" s="1"/>
  <c r="T128" i="13" s="1"/>
  <c r="L129" i="13"/>
  <c r="S129" i="13" s="1"/>
  <c r="T129" i="13" s="1"/>
  <c r="L130" i="13"/>
  <c r="S130" i="13" s="1"/>
  <c r="T130" i="13" s="1"/>
  <c r="L131" i="13"/>
  <c r="S131" i="13" s="1"/>
  <c r="T131" i="13" s="1"/>
  <c r="L132" i="13"/>
  <c r="S132" i="13" s="1"/>
  <c r="T132" i="13" s="1"/>
  <c r="L133" i="13"/>
  <c r="S133" i="13" s="1"/>
  <c r="T133" i="13" s="1"/>
  <c r="L134" i="13"/>
  <c r="S134" i="13" s="1"/>
  <c r="T134" i="13" s="1"/>
  <c r="L135" i="13"/>
  <c r="S135" i="13" s="1"/>
  <c r="T135" i="13" s="1"/>
  <c r="L136" i="13"/>
  <c r="S136" i="13" s="1"/>
  <c r="T136" i="13" s="1"/>
  <c r="L137" i="13"/>
  <c r="S137" i="13" s="1"/>
  <c r="T137" i="13" s="1"/>
  <c r="L138" i="13"/>
  <c r="S138" i="13" s="1"/>
  <c r="T138" i="13" s="1"/>
  <c r="L139" i="13"/>
  <c r="S139" i="13" s="1"/>
  <c r="T139" i="13" s="1"/>
  <c r="L140" i="13"/>
  <c r="S140" i="13" s="1"/>
  <c r="T140" i="13" s="1"/>
  <c r="L141" i="13"/>
  <c r="S141" i="13" s="1"/>
  <c r="T141" i="13" s="1"/>
  <c r="L142" i="13"/>
  <c r="S142" i="13" s="1"/>
  <c r="T142" i="13" s="1"/>
  <c r="I143" i="13"/>
  <c r="J143" i="13" s="1"/>
  <c r="P153" i="13" s="1"/>
  <c r="P143" i="13" s="1"/>
  <c r="K143" i="13"/>
  <c r="K1" i="13" s="1"/>
  <c r="N143" i="13"/>
  <c r="O143" i="13"/>
  <c r="Q143" i="13"/>
  <c r="L144" i="13"/>
  <c r="L145" i="13"/>
  <c r="M145" i="13"/>
  <c r="M143" i="13" s="1"/>
  <c r="L146" i="13"/>
  <c r="M146" i="13"/>
  <c r="R146" i="13"/>
  <c r="R143" i="13" s="1"/>
  <c r="J147" i="13"/>
  <c r="L147" i="13"/>
  <c r="S147" i="13" s="1"/>
  <c r="T147" i="13" s="1"/>
  <c r="L148" i="13"/>
  <c r="S148" i="13" s="1"/>
  <c r="T148" i="13" s="1"/>
  <c r="J149" i="13"/>
  <c r="L149" i="13"/>
  <c r="S149" i="13" s="1"/>
  <c r="T149" i="13" s="1"/>
  <c r="J150" i="13"/>
  <c r="L150" i="13"/>
  <c r="S150" i="13" s="1"/>
  <c r="T150" i="13" s="1"/>
  <c r="S151" i="13"/>
  <c r="T151" i="13" s="1"/>
  <c r="S152" i="13"/>
  <c r="T152" i="13" s="1"/>
  <c r="L153" i="13"/>
  <c r="S154" i="13"/>
  <c r="J155" i="13"/>
  <c r="P158" i="13" s="1"/>
  <c r="P155" i="13" s="1"/>
  <c r="M155" i="13"/>
  <c r="N155" i="13"/>
  <c r="O155" i="13"/>
  <c r="Q155" i="13"/>
  <c r="R155" i="13"/>
  <c r="L156" i="13"/>
  <c r="S156" i="13" s="1"/>
  <c r="T156" i="13" s="1"/>
  <c r="L157" i="13"/>
  <c r="S157" i="13" s="1"/>
  <c r="T157" i="13" s="1"/>
  <c r="L158" i="13"/>
  <c r="M159" i="13"/>
  <c r="N159" i="13"/>
  <c r="O159" i="13"/>
  <c r="P159" i="13"/>
  <c r="Q159" i="13"/>
  <c r="K160" i="13"/>
  <c r="L160" i="13" s="1"/>
  <c r="S160" i="13" s="1"/>
  <c r="T160" i="13" s="1"/>
  <c r="L161" i="13"/>
  <c r="S161" i="13" s="1"/>
  <c r="T161" i="13" s="1"/>
  <c r="J162" i="13"/>
  <c r="L162" i="13"/>
  <c r="R162" i="13"/>
  <c r="R159" i="13" s="1"/>
  <c r="S163" i="13"/>
  <c r="T163" i="13" s="1"/>
  <c r="S164" i="13"/>
  <c r="T164" i="13" s="1"/>
  <c r="M165" i="13"/>
  <c r="N165" i="13"/>
  <c r="O165" i="13"/>
  <c r="Q165" i="13"/>
  <c r="R165" i="13"/>
  <c r="K166" i="13"/>
  <c r="L166" i="13"/>
  <c r="S166" i="13" s="1"/>
  <c r="T166" i="13" s="1"/>
  <c r="L167" i="13"/>
  <c r="S167" i="13" s="1"/>
  <c r="T167" i="13" s="1"/>
  <c r="L168" i="13"/>
  <c r="S168" i="13" s="1"/>
  <c r="T168" i="13" s="1"/>
  <c r="L169" i="13"/>
  <c r="S169" i="13" s="1"/>
  <c r="T169" i="13" s="1"/>
  <c r="L170" i="13"/>
  <c r="S170" i="13" s="1"/>
  <c r="T170" i="13" s="1"/>
  <c r="L171" i="13"/>
  <c r="P171" i="13"/>
  <c r="M172" i="13"/>
  <c r="N172" i="13"/>
  <c r="O172" i="13"/>
  <c r="P172" i="13"/>
  <c r="Q172" i="13"/>
  <c r="R172" i="13"/>
  <c r="L173" i="13"/>
  <c r="S173" i="13" s="1"/>
  <c r="T173" i="13" s="1"/>
  <c r="L174" i="13"/>
  <c r="S174" i="13" s="1"/>
  <c r="T174" i="13" s="1"/>
  <c r="S175" i="13"/>
  <c r="T175" i="13" s="1"/>
  <c r="S176" i="13"/>
  <c r="T176" i="13" s="1"/>
  <c r="M177" i="13"/>
  <c r="N177" i="13"/>
  <c r="P177" i="13"/>
  <c r="Q177" i="13"/>
  <c r="R177" i="13"/>
  <c r="L178" i="13"/>
  <c r="S178" i="13" s="1"/>
  <c r="T178" i="13" s="1"/>
  <c r="L179" i="13"/>
  <c r="O179" i="13"/>
  <c r="O177" i="13" s="1"/>
  <c r="M180" i="13"/>
  <c r="N180" i="13"/>
  <c r="O180" i="13"/>
  <c r="P180" i="13"/>
  <c r="Q180" i="13"/>
  <c r="R180" i="13"/>
  <c r="L181" i="13"/>
  <c r="S181" i="13" s="1"/>
  <c r="T181" i="13" s="1"/>
  <c r="L182" i="13"/>
  <c r="S182" i="13" s="1"/>
  <c r="T182" i="13" s="1"/>
  <c r="S183" i="13"/>
  <c r="T183" i="13" s="1"/>
  <c r="N186" i="13"/>
  <c r="S72" i="13" l="1"/>
  <c r="T72" i="13" s="1"/>
  <c r="S14" i="13"/>
  <c r="T14" i="13" s="1"/>
  <c r="N12" i="14"/>
  <c r="M12" i="14"/>
  <c r="J70" i="14"/>
  <c r="J42" i="14"/>
  <c r="J41" i="14" s="1"/>
  <c r="R12" i="14"/>
  <c r="J73" i="14"/>
  <c r="S90" i="13"/>
  <c r="T90" i="13" s="1"/>
  <c r="T62" i="13"/>
  <c r="S71" i="14"/>
  <c r="T71" i="14" s="1"/>
  <c r="S146" i="13"/>
  <c r="T146" i="13" s="1"/>
  <c r="S50" i="13"/>
  <c r="T50" i="13" s="1"/>
  <c r="S244" i="14"/>
  <c r="T243" i="14"/>
  <c r="T242" i="14" s="1"/>
  <c r="S179" i="13"/>
  <c r="T179" i="13" s="1"/>
  <c r="L155" i="13"/>
  <c r="I1" i="13"/>
  <c r="S37" i="13"/>
  <c r="T37" i="13" s="1"/>
  <c r="S59" i="13"/>
  <c r="T59" i="13" s="1"/>
  <c r="S38" i="13"/>
  <c r="T38" i="13" s="1"/>
  <c r="S180" i="13"/>
  <c r="T180" i="13" s="1"/>
  <c r="S42" i="13"/>
  <c r="T42" i="13" s="1"/>
  <c r="O5" i="13"/>
  <c r="S5" i="13" s="1"/>
  <c r="T5" i="13" s="1"/>
  <c r="S155" i="13"/>
  <c r="T155" i="13" s="1"/>
  <c r="S77" i="13"/>
  <c r="T77" i="13" s="1"/>
  <c r="S76" i="13"/>
  <c r="T76" i="13" s="1"/>
  <c r="L60" i="13"/>
  <c r="S60" i="13" s="1"/>
  <c r="T60" i="13" s="1"/>
  <c r="S92" i="13"/>
  <c r="T92" i="13" s="1"/>
  <c r="S79" i="13"/>
  <c r="T79" i="13" s="1"/>
  <c r="S28" i="13"/>
  <c r="T28" i="13" s="1"/>
  <c r="M1" i="13"/>
  <c r="S171" i="13"/>
  <c r="T171" i="13" s="1"/>
  <c r="P165" i="13"/>
  <c r="S165" i="13" s="1"/>
  <c r="T165" i="13" s="1"/>
  <c r="S91" i="13"/>
  <c r="T91" i="13" s="1"/>
  <c r="S84" i="13"/>
  <c r="T84" i="13" s="1"/>
  <c r="S81" i="13"/>
  <c r="T81" i="13" s="1"/>
  <c r="P1" i="13"/>
  <c r="S172" i="13"/>
  <c r="T172" i="13" s="1"/>
  <c r="S61" i="13"/>
  <c r="T61" i="13" s="1"/>
  <c r="R1" i="13"/>
  <c r="T163" i="14"/>
  <c r="L120" i="14"/>
  <c r="S120" i="14" s="1"/>
  <c r="T120" i="14" s="1"/>
  <c r="L73" i="14"/>
  <c r="S73" i="14" s="1"/>
  <c r="T73" i="14" s="1"/>
  <c r="K23" i="14"/>
  <c r="S184" i="14"/>
  <c r="T184" i="14" s="1"/>
  <c r="R164" i="14"/>
  <c r="S215" i="14"/>
  <c r="T215" i="14" s="1"/>
  <c r="L115" i="14"/>
  <c r="S115" i="14" s="1"/>
  <c r="T115" i="14" s="1"/>
  <c r="J57" i="14"/>
  <c r="N219" i="14"/>
  <c r="R176" i="14"/>
  <c r="M23" i="14"/>
  <c r="S216" i="14"/>
  <c r="T216" i="14" s="1"/>
  <c r="S187" i="14"/>
  <c r="T187" i="14" s="1"/>
  <c r="S179" i="14"/>
  <c r="T179" i="14" s="1"/>
  <c r="Q164" i="14"/>
  <c r="M164" i="14"/>
  <c r="L157" i="14"/>
  <c r="S157" i="14" s="1"/>
  <c r="T157" i="14" s="1"/>
  <c r="L150" i="14"/>
  <c r="S150" i="14" s="1"/>
  <c r="T150" i="14" s="1"/>
  <c r="S138" i="14"/>
  <c r="T138" i="14" s="1"/>
  <c r="L127" i="14"/>
  <c r="S127" i="14" s="1"/>
  <c r="T127" i="14" s="1"/>
  <c r="S116" i="14"/>
  <c r="T116" i="14" s="1"/>
  <c r="J68" i="14"/>
  <c r="J63" i="14"/>
  <c r="I23" i="14"/>
  <c r="J23" i="14" s="1"/>
  <c r="P23" i="14"/>
  <c r="S220" i="14"/>
  <c r="T220" i="14" s="1"/>
  <c r="K204" i="14"/>
  <c r="S76" i="14"/>
  <c r="T76" i="14" s="1"/>
  <c r="S35" i="14"/>
  <c r="T35" i="14" s="1"/>
  <c r="L13" i="14"/>
  <c r="I219" i="14"/>
  <c r="S214" i="14"/>
  <c r="T214" i="14" s="1"/>
  <c r="N164" i="14"/>
  <c r="O164" i="14"/>
  <c r="S39" i="14"/>
  <c r="T39" i="14" s="1"/>
  <c r="Q23" i="14"/>
  <c r="L7" i="14"/>
  <c r="L6" i="14" s="1"/>
  <c r="J164" i="14"/>
  <c r="M44" i="14"/>
  <c r="S44" i="14" s="1"/>
  <c r="T44" i="14" s="1"/>
  <c r="S248" i="14"/>
  <c r="S239" i="14"/>
  <c r="T239" i="14" s="1"/>
  <c r="Q219" i="14"/>
  <c r="S221" i="14"/>
  <c r="T221" i="14" s="1"/>
  <c r="M219" i="14"/>
  <c r="O204" i="14"/>
  <c r="S196" i="14"/>
  <c r="T196" i="14" s="1"/>
  <c r="S156" i="14"/>
  <c r="T156" i="14" s="1"/>
  <c r="L153" i="14"/>
  <c r="S153" i="14" s="1"/>
  <c r="T153" i="14" s="1"/>
  <c r="J123" i="14"/>
  <c r="P126" i="14" s="1"/>
  <c r="P123" i="14" s="1"/>
  <c r="P79" i="14" s="1"/>
  <c r="L84" i="14"/>
  <c r="S84" i="14" s="1"/>
  <c r="T84" i="14" s="1"/>
  <c r="S63" i="14"/>
  <c r="T63" i="14" s="1"/>
  <c r="S61" i="14"/>
  <c r="T61" i="14" s="1"/>
  <c r="L61" i="14"/>
  <c r="S48" i="14"/>
  <c r="T48" i="14" s="1"/>
  <c r="L41" i="14"/>
  <c r="S41" i="14" s="1"/>
  <c r="T41" i="14" s="1"/>
  <c r="L26" i="14"/>
  <c r="S26" i="14" s="1"/>
  <c r="T26" i="14" s="1"/>
  <c r="O23" i="14"/>
  <c r="S19" i="14"/>
  <c r="T19" i="14" s="1"/>
  <c r="L225" i="14"/>
  <c r="S225" i="14" s="1"/>
  <c r="T225" i="14" s="1"/>
  <c r="N176" i="14"/>
  <c r="S192" i="14"/>
  <c r="T192" i="14" s="1"/>
  <c r="S177" i="14"/>
  <c r="T177" i="14" s="1"/>
  <c r="S70" i="14"/>
  <c r="T70" i="14" s="1"/>
  <c r="S52" i="14"/>
  <c r="T52" i="14" s="1"/>
  <c r="S37" i="14"/>
  <c r="T37" i="14" s="1"/>
  <c r="L16" i="14"/>
  <c r="S16" i="14" s="1"/>
  <c r="T16" i="14" s="1"/>
  <c r="P12" i="14"/>
  <c r="R219" i="14"/>
  <c r="T248" i="14"/>
  <c r="S226" i="14"/>
  <c r="T226" i="14" s="1"/>
  <c r="O219" i="14"/>
  <c r="J220" i="14"/>
  <c r="J219" i="14" s="1"/>
  <c r="P204" i="14"/>
  <c r="Q204" i="14"/>
  <c r="S185" i="14"/>
  <c r="T185" i="14" s="1"/>
  <c r="P164" i="14"/>
  <c r="K164" i="14"/>
  <c r="I164" i="14"/>
  <c r="S158" i="14"/>
  <c r="T158" i="14" s="1"/>
  <c r="R79" i="14"/>
  <c r="J141" i="14"/>
  <c r="S128" i="14"/>
  <c r="T128" i="14" s="1"/>
  <c r="J101" i="14"/>
  <c r="N103" i="14" s="1"/>
  <c r="N101" i="14" s="1"/>
  <c r="N79" i="14" s="1"/>
  <c r="S36" i="14"/>
  <c r="T36" i="14" s="1"/>
  <c r="J26" i="14"/>
  <c r="O12" i="14"/>
  <c r="J204" i="14"/>
  <c r="P176" i="14"/>
  <c r="L165" i="14"/>
  <c r="L146" i="14"/>
  <c r="S146" i="14" s="1"/>
  <c r="T146" i="14" s="1"/>
  <c r="L144" i="14"/>
  <c r="S144" i="14" s="1"/>
  <c r="T144" i="14" s="1"/>
  <c r="L237" i="14"/>
  <c r="S237" i="14" s="1"/>
  <c r="T237" i="14" s="1"/>
  <c r="R204" i="14"/>
  <c r="N204" i="14"/>
  <c r="L180" i="14"/>
  <c r="S180" i="14" s="1"/>
  <c r="T180" i="14" s="1"/>
  <c r="Q176" i="14"/>
  <c r="M176" i="14"/>
  <c r="L160" i="14"/>
  <c r="S160" i="14" s="1"/>
  <c r="T160" i="14" s="1"/>
  <c r="L148" i="14"/>
  <c r="S148" i="14" s="1"/>
  <c r="T148" i="14" s="1"/>
  <c r="S149" i="14"/>
  <c r="T149" i="14" s="1"/>
  <c r="L141" i="14"/>
  <c r="S141" i="14" s="1"/>
  <c r="T141" i="14" s="1"/>
  <c r="K6" i="14"/>
  <c r="S246" i="14"/>
  <c r="M204" i="14"/>
  <c r="S195" i="14"/>
  <c r="T195" i="14" s="1"/>
  <c r="L194" i="14"/>
  <c r="S194" i="14" s="1"/>
  <c r="T194" i="14" s="1"/>
  <c r="S172" i="14"/>
  <c r="T172" i="14" s="1"/>
  <c r="S155" i="14"/>
  <c r="T155" i="14" s="1"/>
  <c r="S106" i="14"/>
  <c r="T106" i="14" s="1"/>
  <c r="L104" i="14"/>
  <c r="S104" i="14" s="1"/>
  <c r="T104" i="14" s="1"/>
  <c r="S100" i="14"/>
  <c r="T100" i="14" s="1"/>
  <c r="L98" i="14"/>
  <c r="S98" i="14" s="1"/>
  <c r="T98" i="14" s="1"/>
  <c r="S93" i="14"/>
  <c r="T93" i="14" s="1"/>
  <c r="L91" i="14"/>
  <c r="S91" i="14" s="1"/>
  <c r="T91" i="14" s="1"/>
  <c r="T241" i="14"/>
  <c r="T240" i="14" s="1"/>
  <c r="P219" i="14"/>
  <c r="K219" i="14"/>
  <c r="L211" i="14"/>
  <c r="S211" i="14" s="1"/>
  <c r="T211" i="14" s="1"/>
  <c r="L209" i="14"/>
  <c r="S209" i="14" s="1"/>
  <c r="T209" i="14" s="1"/>
  <c r="S206" i="14"/>
  <c r="T206" i="14" s="1"/>
  <c r="L205" i="14"/>
  <c r="I204" i="14"/>
  <c r="S182" i="14"/>
  <c r="T182" i="14" s="1"/>
  <c r="O176" i="14"/>
  <c r="L170" i="14"/>
  <c r="S170" i="14" s="1"/>
  <c r="T170" i="14" s="1"/>
  <c r="S151" i="14"/>
  <c r="T151" i="14" s="1"/>
  <c r="S112" i="14"/>
  <c r="T112" i="14" s="1"/>
  <c r="L110" i="14"/>
  <c r="S110" i="14" s="1"/>
  <c r="T110" i="14" s="1"/>
  <c r="S34" i="14"/>
  <c r="T34" i="14" s="1"/>
  <c r="R33" i="14"/>
  <c r="S33" i="14" s="1"/>
  <c r="T33" i="14" s="1"/>
  <c r="S97" i="14"/>
  <c r="T97" i="14" s="1"/>
  <c r="L95" i="14"/>
  <c r="S95" i="14" s="1"/>
  <c r="T95" i="14" s="1"/>
  <c r="Q79" i="14"/>
  <c r="S55" i="14"/>
  <c r="T55" i="14" s="1"/>
  <c r="L50" i="14"/>
  <c r="S50" i="14" s="1"/>
  <c r="T50" i="14" s="1"/>
  <c r="S183" i="14"/>
  <c r="T183" i="14" s="1"/>
  <c r="J146" i="14"/>
  <c r="S121" i="14"/>
  <c r="T121" i="14" s="1"/>
  <c r="H79" i="14"/>
  <c r="H1" i="14" s="1"/>
  <c r="T90" i="14"/>
  <c r="S88" i="14"/>
  <c r="T88" i="14" s="1"/>
  <c r="L87" i="14"/>
  <c r="S87" i="14" s="1"/>
  <c r="T87" i="14" s="1"/>
  <c r="S3" i="14"/>
  <c r="T3" i="14" s="1"/>
  <c r="M132" i="14"/>
  <c r="M79" i="14" s="1"/>
  <c r="L132" i="14"/>
  <c r="L123" i="14"/>
  <c r="S124" i="14"/>
  <c r="T124" i="14" s="1"/>
  <c r="S122" i="14"/>
  <c r="T122" i="14" s="1"/>
  <c r="L101" i="14"/>
  <c r="S102" i="14"/>
  <c r="T102" i="14" s="1"/>
  <c r="K79" i="14"/>
  <c r="S57" i="14"/>
  <c r="T57" i="14" s="1"/>
  <c r="N23" i="14"/>
  <c r="S18" i="14"/>
  <c r="T18" i="14" s="1"/>
  <c r="S108" i="14"/>
  <c r="T108" i="14" s="1"/>
  <c r="L107" i="14"/>
  <c r="L81" i="14"/>
  <c r="O79" i="14"/>
  <c r="I80" i="14"/>
  <c r="S31" i="14"/>
  <c r="T31" i="14" s="1"/>
  <c r="S24" i="14"/>
  <c r="T24" i="14" s="1"/>
  <c r="J12" i="14"/>
  <c r="Q15" i="14"/>
  <c r="Q13" i="14" s="1"/>
  <c r="S9" i="14"/>
  <c r="T9" i="14" s="1"/>
  <c r="S85" i="14"/>
  <c r="T85" i="14" s="1"/>
  <c r="L68" i="14"/>
  <c r="S68" i="14" s="1"/>
  <c r="T68" i="14" s="1"/>
  <c r="S28" i="14"/>
  <c r="T28" i="14" s="1"/>
  <c r="S8" i="14"/>
  <c r="T8" i="14" s="1"/>
  <c r="N7" i="14"/>
  <c r="N6" i="14" s="1"/>
  <c r="J7" i="14"/>
  <c r="S177" i="13"/>
  <c r="T177" i="13" s="1"/>
  <c r="S159" i="13"/>
  <c r="T159" i="13" s="1"/>
  <c r="L87" i="13"/>
  <c r="S87" i="13" s="1"/>
  <c r="T87" i="13" s="1"/>
  <c r="J77" i="13"/>
  <c r="J1" i="13" s="1"/>
  <c r="N1" i="13"/>
  <c r="S162" i="13"/>
  <c r="T162" i="13" s="1"/>
  <c r="S158" i="13"/>
  <c r="T158" i="13" s="1"/>
  <c r="S153" i="13"/>
  <c r="T153" i="13" s="1"/>
  <c r="S145" i="13"/>
  <c r="T145" i="13" s="1"/>
  <c r="S95" i="13"/>
  <c r="T95" i="13" s="1"/>
  <c r="S25" i="13"/>
  <c r="T25" i="13" s="1"/>
  <c r="Q18" i="13"/>
  <c r="S18" i="13" s="1"/>
  <c r="T18" i="13" s="1"/>
  <c r="S15" i="13"/>
  <c r="T15" i="13" s="1"/>
  <c r="S144" i="13"/>
  <c r="L143" i="13"/>
  <c r="S66" i="13"/>
  <c r="T66" i="13" s="1"/>
  <c r="S26" i="13"/>
  <c r="T26" i="13" s="1"/>
  <c r="S24" i="13"/>
  <c r="T24" i="13" s="1"/>
  <c r="O11" i="13"/>
  <c r="O1" i="13" s="1"/>
  <c r="S6" i="13"/>
  <c r="L94" i="13"/>
  <c r="S94" i="13" s="1"/>
  <c r="T94" i="13" s="1"/>
  <c r="P1" i="14" l="1"/>
  <c r="L219" i="14"/>
  <c r="S219" i="14" s="1"/>
  <c r="T219" i="14" s="1"/>
  <c r="O1" i="14"/>
  <c r="S6" i="14"/>
  <c r="T6" i="14" s="1"/>
  <c r="Q1" i="13"/>
  <c r="L1" i="13"/>
  <c r="N1" i="14"/>
  <c r="K1" i="14"/>
  <c r="J1" i="14"/>
  <c r="L12" i="14"/>
  <c r="M1" i="14"/>
  <c r="I1" i="14"/>
  <c r="S123" i="14"/>
  <c r="T123" i="14" s="1"/>
  <c r="S126" i="14"/>
  <c r="T126" i="14" s="1"/>
  <c r="L23" i="14"/>
  <c r="S103" i="14"/>
  <c r="T103" i="14" s="1"/>
  <c r="S101" i="14"/>
  <c r="T101" i="14" s="1"/>
  <c r="S81" i="14"/>
  <c r="T81" i="14" s="1"/>
  <c r="L80" i="14"/>
  <c r="R23" i="14"/>
  <c r="R1" i="14" s="1"/>
  <c r="S15" i="14"/>
  <c r="T15" i="14" s="1"/>
  <c r="J80" i="14"/>
  <c r="J79" i="14" s="1"/>
  <c r="I79" i="14"/>
  <c r="L204" i="14"/>
  <c r="S204" i="14" s="1"/>
  <c r="T204" i="14" s="1"/>
  <c r="S205" i="14"/>
  <c r="T205" i="14" s="1"/>
  <c r="S7" i="14"/>
  <c r="T7" i="14" s="1"/>
  <c r="Q12" i="14"/>
  <c r="S13" i="14"/>
  <c r="T13" i="14" s="1"/>
  <c r="S107" i="14"/>
  <c r="T107" i="14" s="1"/>
  <c r="S132" i="14"/>
  <c r="T132" i="14" s="1"/>
  <c r="S176" i="14"/>
  <c r="T176" i="14" s="1"/>
  <c r="S165" i="14"/>
  <c r="T165" i="14" s="1"/>
  <c r="L164" i="14"/>
  <c r="S164" i="14" s="1"/>
  <c r="T164" i="14" s="1"/>
  <c r="S143" i="13"/>
  <c r="T143" i="13" s="1"/>
  <c r="T144" i="13"/>
  <c r="S11" i="13"/>
  <c r="T11" i="13" s="1"/>
  <c r="S1" i="13"/>
  <c r="T6" i="13"/>
  <c r="T1" i="13" l="1"/>
  <c r="U1" i="13" s="1"/>
  <c r="S23" i="14"/>
  <c r="T23" i="14" s="1"/>
  <c r="S12" i="14"/>
  <c r="T12" i="14" s="1"/>
  <c r="Q1" i="14"/>
  <c r="L79" i="14"/>
  <c r="S79" i="14" s="1"/>
  <c r="T79" i="14" s="1"/>
  <c r="S80" i="14"/>
  <c r="T80" i="14" s="1"/>
  <c r="G1" i="13" l="1"/>
  <c r="L1" i="14"/>
  <c r="J17" i="10" l="1"/>
  <c r="J32" i="10"/>
  <c r="D7" i="9" l="1"/>
  <c r="J34" i="10"/>
  <c r="J17" i="9" l="1"/>
  <c r="J3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Loreto del Pilar Araneda Diaz</author>
  </authors>
  <commentList>
    <comment ref="R14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proyeccion real para dic $175.913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<sst xmlns="http://schemas.openxmlformats.org/spreadsheetml/2006/main" count="2409" uniqueCount="459">
  <si>
    <t>Subt.</t>
  </si>
  <si>
    <t>Item</t>
  </si>
  <si>
    <t>Asig</t>
  </si>
  <si>
    <t>Clasificación del Gasto</t>
  </si>
  <si>
    <t xml:space="preserve">ENERO </t>
  </si>
  <si>
    <t>FEBRERO</t>
  </si>
  <si>
    <t>MARZO</t>
  </si>
  <si>
    <t>INGRESOS:</t>
  </si>
  <si>
    <t>TRANSFERENCIAS CORRIENTES</t>
  </si>
  <si>
    <t>08</t>
  </si>
  <si>
    <t xml:space="preserve">OTROS INGRESOS </t>
  </si>
  <si>
    <t>APORTE FISCAL</t>
  </si>
  <si>
    <t>Remuneraciones</t>
  </si>
  <si>
    <t>GASTOS</t>
  </si>
  <si>
    <t>GASTOS EN PERSONAL</t>
  </si>
  <si>
    <t>BIENES Y SERVICIO DE CONSUMO</t>
  </si>
  <si>
    <t>02</t>
  </si>
  <si>
    <t xml:space="preserve">Al Gobierno Central </t>
  </si>
  <si>
    <t>A Otras Entidades Públicas</t>
  </si>
  <si>
    <t>Programa de Gestión en Seguridad Ciudadana</t>
  </si>
  <si>
    <t>ADQ. DE ACTIVOS NO FINANC.</t>
  </si>
  <si>
    <t>SERVICIO DE LA DEUDA</t>
  </si>
  <si>
    <t>SALDO FINAL DE CAJA</t>
  </si>
  <si>
    <t>01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</si>
  <si>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</si>
  <si>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</si>
  <si>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</si>
  <si>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</si>
  <si>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</si>
  <si>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</si>
  <si>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</si>
  <si>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</si>
  <si>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</si>
  <si>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002</t>
  </si>
  <si>
    <t>ENUSC</t>
  </si>
  <si>
    <t>Recuperación y Reembolso de Licencias Médicas</t>
  </si>
  <si>
    <t>Otros</t>
  </si>
  <si>
    <t>SERVICIO: Subsecretaría de Prevención del Delito</t>
  </si>
  <si>
    <t>RESTO   (M$)</t>
  </si>
  <si>
    <t>1ra Semana</t>
  </si>
  <si>
    <t>2da Semana</t>
  </si>
  <si>
    <t>3ra Semana</t>
  </si>
  <si>
    <t>4ta Semana</t>
  </si>
  <si>
    <t>5ta Semana</t>
  </si>
  <si>
    <t>día</t>
  </si>
  <si>
    <t>monto M$</t>
  </si>
  <si>
    <t>Total Resto</t>
  </si>
  <si>
    <t>REMUNERACIONES   (M$)</t>
  </si>
  <si>
    <t>Total Remuneraciones</t>
  </si>
  <si>
    <t>Total mes</t>
  </si>
  <si>
    <t>Notas:</t>
  </si>
  <si>
    <t>SERVICIO: Centros Regionales de Atención y Orientación a Víctimas</t>
  </si>
  <si>
    <t>001</t>
  </si>
  <si>
    <t>DEUDA FLOTANTE</t>
  </si>
  <si>
    <t>Red Nacional de Seguridad Pública</t>
  </si>
  <si>
    <t>Programa de Innovación y Tecnología</t>
  </si>
  <si>
    <t>Plan Calle Segura</t>
  </si>
  <si>
    <t>Programa Seguridad en mi Barrio</t>
  </si>
  <si>
    <t>Programa Sistema Lazos</t>
  </si>
  <si>
    <t>Programa Denuncia Seguro</t>
  </si>
  <si>
    <t>04</t>
  </si>
  <si>
    <t>Empréstitos</t>
  </si>
  <si>
    <t>07</t>
  </si>
  <si>
    <t>Deuda Flotante</t>
  </si>
  <si>
    <t>Transferencias</t>
  </si>
  <si>
    <t>Transferencias Corrientes</t>
  </si>
  <si>
    <t>S</t>
  </si>
  <si>
    <t>Por Proyectar</t>
  </si>
  <si>
    <t>Transferencias Corrientes Directas</t>
  </si>
  <si>
    <t>FNSP</t>
  </si>
  <si>
    <t>D</t>
  </si>
  <si>
    <t>FNSP20-AD-0002 - Stgo</t>
  </si>
  <si>
    <t>Transferencias Directas Comp 2 - Situacional</t>
  </si>
  <si>
    <t>Ejecutado</t>
  </si>
  <si>
    <t>FNSP20-AD-0001</t>
  </si>
  <si>
    <t>Transferencias Directas Comp 1 - Social</t>
  </si>
  <si>
    <t>Transferencias Comp 2 - Situacional</t>
  </si>
  <si>
    <t>Transferencias Comp 1 - Social</t>
  </si>
  <si>
    <t>Bienes y Servicios de Consumo - Comunicaciones</t>
  </si>
  <si>
    <t>B y S - DCOM</t>
  </si>
  <si>
    <t>Por Proyectar: Ceremonia Premiación</t>
  </si>
  <si>
    <t>Bienes y Servicios de Consumo</t>
  </si>
  <si>
    <t>Servicio Radio Taxi  2020 - FNSP - ASTRAL</t>
  </si>
  <si>
    <t>Servicio Radio Taxi  2020 - FNSP - QUO VADIS LTDA.</t>
  </si>
  <si>
    <t>02.01, CDP 307; SKY AIRLINE S.A. - Pasajes Aéreos - FNSP</t>
  </si>
  <si>
    <t xml:space="preserve">02.01, CDP 301; LATAM AIRLINES GROUP S.A. - Pasajes Aéreos - FNSP  </t>
  </si>
  <si>
    <t>B y S</t>
  </si>
  <si>
    <t xml:space="preserve">Viáticos </t>
  </si>
  <si>
    <t>Viáticos</t>
  </si>
  <si>
    <t>Honorarios FNSP</t>
  </si>
  <si>
    <t>Honorarios</t>
  </si>
  <si>
    <t>Modif.</t>
  </si>
  <si>
    <t>Adq. De Activos No financieros</t>
  </si>
  <si>
    <t>ITI</t>
  </si>
  <si>
    <t>02.01, CDP 493; MOTOROLA SOLUTIONS CHILE S.A. - Adjudicación de licitación 654478-2-LR20 Sistema de cámaras corporales de alta resolución.</t>
  </si>
  <si>
    <t>Adq. Act. No Fin.</t>
  </si>
  <si>
    <t>Región de Los Ríos.</t>
  </si>
  <si>
    <t>Tarapacá</t>
  </si>
  <si>
    <t>-</t>
  </si>
  <si>
    <t xml:space="preserve">Por Proyectar (BUD o Estudios) </t>
  </si>
  <si>
    <t>Hablar con Rosario</t>
  </si>
  <si>
    <t>Por Proyectar Proyecto CEAD</t>
  </si>
  <si>
    <t>Por Proyectar (BUD o Estudios) Laboratorio de Innovación HH para desarrollo</t>
  </si>
  <si>
    <t>Por Proyectar (BUD o Estudios) Sistema de Encargo de Personas HH para desarrollo</t>
  </si>
  <si>
    <t xml:space="preserve">Por Proyectar (BUD o Estudios) Nube </t>
  </si>
  <si>
    <t>Según correo de Pablo Castro del 07/07/2020</t>
  </si>
  <si>
    <t>CDP 691; CONSULTORIA Y DESARROLLO DE SOFTWARE ARKHOTECH SPA - Diseño, construcción e implementación arquitectura tecnológica fase 2 del BUD analítico.</t>
  </si>
  <si>
    <t xml:space="preserve">02.01, CDP 646; Licitación: Compra créditos en la nube para obtener los servicios cloud computing con el objetivo de seguir desarrollando soluciones tecnológicas. </t>
  </si>
  <si>
    <t>Servicio de Telefonía y Datos Móviles CLARO.</t>
  </si>
  <si>
    <t>SERVICIOS E IMPORTACIONES ALFARO Y PENA LIMITADA - Adjudicación Licitación: Servicio de Extensión de garantía de Hardware y actualización de firmware del Banco Unificado de Datos (BUD). F/1383</t>
  </si>
  <si>
    <t>02.01; Convenio BP20-CMP-0034 - MUNICIPALIDAD DE PUNTA ARENAS</t>
  </si>
  <si>
    <t>MI BARRIO</t>
  </si>
  <si>
    <t>02.01; Convenio BP20-CMP-0033 - MUNICIPALIDAD DE COYHAIQUE</t>
  </si>
  <si>
    <t>02.01; Convenio BP20-CMP-0032 - MUNICIPALIDAD DE PUERTO MONTT</t>
  </si>
  <si>
    <t>02.01; Convenio BP20-CMP-0031 - MUNICIPALIDAD DE VALDIVIA</t>
  </si>
  <si>
    <t>02.01; Convenio BP20-CMP-0030 - MUNICIPALIDAD DE TEMUCO</t>
  </si>
  <si>
    <t>02.01; Convenio BP20-CMP-0029 - MUNICIPALIDAD DE TEMUCO</t>
  </si>
  <si>
    <t>02.01; Convenio BP20-CMP-0028 - MUNICIPALIDAD DE SAN PEDRO DE LA PAZ</t>
  </si>
  <si>
    <t>02.01; Convenio BP20-CMP-0027 - MUNICIPALIDAD DE TALCA</t>
  </si>
  <si>
    <t>02.01; Convenio BP20-CMP-0026 - MUNICIPALIDAD DE TALCA</t>
  </si>
  <si>
    <t>02.01; Convenio BP20-CMP-0025 - MUNICIPALIDAD DE RANCAGUA*</t>
  </si>
  <si>
    <t>02.01; Convenio BP20-CMP-0024 - MUNICIPALIDAD DE RANCAGUA</t>
  </si>
  <si>
    <t>02.01; Convenio BP20-CMP-0023 - MUNICIPALIDAD DE RANCAGUA</t>
  </si>
  <si>
    <t>02.01; Convenio BP20-CMP-0022 - MUNICIPALIDAD DE VIÑA DEL MAR</t>
  </si>
  <si>
    <t>02.01; Convenio BP20-CMP-0021 - MUNICIPALIDAD DE VALPARAISO</t>
  </si>
  <si>
    <t>02.01; Convenio BP20-CMP-0020 - MUNICIPALIDAD DE VALPARAISO</t>
  </si>
  <si>
    <t>02.01; Convenio BP20-CMP-0019 - MUNICIPALIDAD DE LA SERENA</t>
  </si>
  <si>
    <t>02.01; Convenio BP20-CMP-0018 - MUNICIPALIDAD DE COQUIMBO</t>
  </si>
  <si>
    <t>02.01; Convenio BP20-CMP-0017 - MUNICIPALIDAD DE COPIAPO</t>
  </si>
  <si>
    <t>02.01; Convenio BP20-CMP-0016 - MUNICIPALIDAD DE ANTOFAGASTA</t>
  </si>
  <si>
    <t>02.01; Convenio BP20-CMP-0015 - MUNICIPALIDAD DE IQUIQUE</t>
  </si>
  <si>
    <t>02.01; Convenio BP20-CMP-0014 - MUNICIPALIDAD DE ALTO HOSPICIO</t>
  </si>
  <si>
    <t>02.01; Convenio BP20-CMP-0013 - MUNICIPALIDAD DE ARICA</t>
  </si>
  <si>
    <t>02.01; Convenio BP20-CMP-0012 - MUNICIPALIDAD DE CERRO NAVIA</t>
  </si>
  <si>
    <t>02.01; Convenio BP20-CMP-0011 - MUNICIPALIDAD DE HUECHURABA</t>
  </si>
  <si>
    <t>02.01; Convenio BP20-CMP-0010 - MUNICIPALIDAD DE MAIPU</t>
  </si>
  <si>
    <t>02.01; Convenio BP20-CMP-0009 - MUNICIPALIDAD DE LO ESPEJO</t>
  </si>
  <si>
    <t>02.01; Convenio BP20-CMP-0008 - MUNICIPALIDAD DE EL BOSQUE</t>
  </si>
  <si>
    <t>02.01; Convenio BP20-CMP-0007 - MUNICIPALIDAD DE QUILICURA</t>
  </si>
  <si>
    <t>02.01; Convenio BP20-CMP-0006 - MUNICIPALIDAD DE SAN BERNARDO</t>
  </si>
  <si>
    <t>02.01; Convenio BP20-CMP-0005 - MUNICIPALIDAD DE LA PINTANA</t>
  </si>
  <si>
    <t>02.01; Convenio BP20-CMP-0004 - MUNICIPALIDAD DE LA PINTANA</t>
  </si>
  <si>
    <t>02.01; Convenio BP20-CMP-0003 - MUNICIPALIDAD DE SAN JOAQUIN</t>
  </si>
  <si>
    <t>02.01; Convenio BP20-CMP-0002 - MUNICIPALIDAD DE PUENTE ALTO</t>
  </si>
  <si>
    <t>02.01; Convenio BP20-CMP-0001 - MUNICIPALIDAD DE PUENTE ALTO</t>
  </si>
  <si>
    <t>Convenio BCP20-RRHH-0007-MUNICIPALIDAD DE VALPARAISO</t>
  </si>
  <si>
    <t>Convenio BCP20-RRHH-0006-MUNICIPALIDAD DE RECOLETA</t>
  </si>
  <si>
    <t>Convenio BCP20-RRHH-0005-MUNICIPALIDAD DE ÑUÑOA</t>
  </si>
  <si>
    <t>Convenio BCP20-RRHH-0004-MUNICIPALIDAD DE VIÑA DEL MAR</t>
  </si>
  <si>
    <t>Convenio BCP20-RRHH-0003-MUNICIPALIDAD DE PUENTE ALTO*</t>
  </si>
  <si>
    <t>Convenio BCP20-RRHH-0002-MUNICIPALIDAD DE PROVIDENCIA</t>
  </si>
  <si>
    <t>Convenio BCP20-RRHH-0001-MUNICIPALIDAD DE SANTIAGO</t>
  </si>
  <si>
    <t>Convenio CHBC20-RRHH-0005-MUNICIPALIDAD DE TEMUCO</t>
  </si>
  <si>
    <t>Convenio CHBC20-RRHH-0004-MUNICIPALIDAD DE CONCEPCION</t>
  </si>
  <si>
    <t>Convenio CHBC20-RRHH-0003-MUNICIPALIDAD DE PROVIDENCIA</t>
  </si>
  <si>
    <t>Convenio CHBC20-RRHH-0002-MUNICIPALIDAD DE ESTACIÓN CENTRAL</t>
  </si>
  <si>
    <t>Convenio CHBC20-RRHH-0001-MUNICIPALIDAD DE SANTIAGO</t>
  </si>
  <si>
    <t>Transferencias Ejecutadas</t>
  </si>
  <si>
    <t>Servicio Radio Taxi  2020 - MI BARRIO - ASTRAL</t>
  </si>
  <si>
    <t>Servicio Radio Taxi  2020 - MI BARRIO - QUO VADIS LTDA.</t>
  </si>
  <si>
    <t>02.01, CDP 310; SKY AIRLINE S.A. - Pasajes Aéreos - MI BARRIO</t>
  </si>
  <si>
    <t>02.01, CDP 304; LATAM AIRLINES GROUP S.A. - Pasajes Aéreos - MI BARRIO</t>
  </si>
  <si>
    <t>Honorarios MI BARRIO</t>
  </si>
  <si>
    <t>Convenio a transferir 2° Sem</t>
  </si>
  <si>
    <t>LAZOS</t>
  </si>
  <si>
    <t xml:space="preserve">Transferencias Ejecutadas </t>
  </si>
  <si>
    <t>06.02, CDP 293; MANUEL FRANCISCO OGANDO MEZA - Poster para presentación de Sistema Lazos en Seminario Internacional.</t>
  </si>
  <si>
    <t>Por Proyectar Contingencia por variación del Dólar</t>
  </si>
  <si>
    <t>Por Proyectar (CDP)</t>
  </si>
  <si>
    <t xml:space="preserve">Servicio de Telefonía y Datos Móviles CLARO. </t>
  </si>
  <si>
    <t>Servicio Radio Taxi  2020 - LAZ - ASTRAL</t>
  </si>
  <si>
    <t xml:space="preserve">01.03, CDP 3; MST GROUP LLC - Adquirir licencia de información y materiales de Servicios MST; la sublicencia de información y materiales de la Fundación para Desarrollo de Investigaciones de MUSC. </t>
  </si>
  <si>
    <t>02.01, CDP 311; SKY AIRLINE S.A. - Pasajes Aéreos - LAZ</t>
  </si>
  <si>
    <t>02.01, CDP 305; LATAM AIRLINES GROUP S.A. - Pasajes Aéreos - LAZ</t>
  </si>
  <si>
    <t>06.02, CDP 2; TRIPLE P LATAM LIMITADA - Contratación de servicio de capacitación/certificación de facilitadores municipales, entrega de materiales de apoyo/ejecución y asesorías directas (mensuales).</t>
  </si>
  <si>
    <t>06.02; CDP 1; FUNDACION SAN CARLOS DEL MAIPO - Compra de servicios de supervisión, monitoreo y asesoría técnica para la implementación del componente "Familias Unidas".</t>
  </si>
  <si>
    <t>Para nueva contratación de HSA</t>
  </si>
  <si>
    <t>Honorarios LAZOS</t>
  </si>
  <si>
    <t xml:space="preserve">02.01, Convenio IYT19-IMPL-0002- INTENDENCIA REGION DE VALPARAISO </t>
  </si>
  <si>
    <t>CALLE</t>
  </si>
  <si>
    <t>Aumentara por Modif presupuestaria que solicitará este mes</t>
  </si>
  <si>
    <t>CDP 666; INGESMART - Adjudica Licitación 654478-1-LR20: ZONA 7 - Sistema de Teleprotección a nivel Nacional, contrato a 60 meses y corresponde a arriendo operativo del equipamiento e infraestructura</t>
  </si>
  <si>
    <t>CDP 665; INGESMART - Adjudica Licitación 654478-1-LR20: ZONA 6 - Sistema de Teleprotección a nivel Nacional, contrato a 60 meses y corresponde a arriendo operativo del equipamiento e infraestructura</t>
  </si>
  <si>
    <t>CDP 664; INGESMART - Adjudica Licitación 654478-1-LR20: ZONA 5 - Sistema de Teleprotección a nivel Nacional, contrato a 60 meses y corresponde a arriendo operativo del equipamiento e infraestructura</t>
  </si>
  <si>
    <t>CDP 663; INGESMART - Adjudica Licitación 654478-1-LR20: ZONA 4 - Sistema de Teleprotección a nivel Nacional, contrato a 60 meses y corresponde a arriendo operativo del equipamiento e infraestructura</t>
  </si>
  <si>
    <t>CDP 662; INGESMART - Adjudica Licitación 654478-1-LR20: ZONA 3 - Sistema de Teleprotección a nivel Nacional, contrato a 60 meses y corresponde a arriendo operativo del equipamiento e infraestructura</t>
  </si>
  <si>
    <t xml:space="preserve">CDP 661, INGESMART - Adjudica Licitación 654478-1-LR20: ZONA 2 - Sistema de Teleprotección a nivel Nacional, contrato a 60 meses y corresponde a arriendo operativo del equipamiento e infraestructura </t>
  </si>
  <si>
    <t>CDP 660, INGESMART - Adjudica Licitación 654478-1-LR20: ZONA 1 - Sistema de Teleprotección a nivel Nacional, contrato a 60 meses y corresponde a arriendo operativo del equipamiento e infraestructura</t>
  </si>
  <si>
    <t>Se va anular</t>
  </si>
  <si>
    <t>02.01, INGENIERIA NOUS SPA - Compra Arriendo de horas de vuelo RPAS (DRONES) Región de Antofagasta. Duración del contrato 36 meses. A contar de mayo del 2020.-</t>
  </si>
  <si>
    <t>Pasan a Transferencias Corrientes</t>
  </si>
  <si>
    <t>Adjudica Licitación 654478-5-LR20: ARRIENDO DE HORAS DE VUELO DE AERONAVES REMOTAMENTE PILOTADAS (RPAS O DRONES) EN RM y corresponde a arriendo de trasmisión de imágenes de 6 drones por 12 meses de co</t>
  </si>
  <si>
    <t>Se va anular. Guille envia correo.</t>
  </si>
  <si>
    <t>02.01, INGENIERIA NOUS SPA - Compra Arriendo de horas de vuelo RPAS (DRONES) Región de Valparaíso, identificado con el ID 654478-21-LR19. Duración del contrato 37 meses. A contar de mayo del 2020.-</t>
  </si>
  <si>
    <t xml:space="preserve">Adjudicación Licitación "Sistema de Seguridad y Tecnología SpA, Sistesa", Arriendo de pórticos lectores. Duración Contrato 60 meses. </t>
  </si>
  <si>
    <t>Servicio Radio Taxi  2020 - CALLE - ASTRAL</t>
  </si>
  <si>
    <t>Servicio Radio Taxi  2020 - CALLE - QUO VADIS LTDA.</t>
  </si>
  <si>
    <t>02.01, CDP 309; SKY AIRLINE S.A. - Pasajes Aéreos - CALLE</t>
  </si>
  <si>
    <t>02.01, CDP 303; LATAM AIRLINES GROUP S.A. - Pasajes Aéreos - CALLE</t>
  </si>
  <si>
    <t>02.01, CDP 55; VIVIAN DE LA FUENTE ALACID - "Coffee break para 30 personas, en el marco del programa Calle Segura para reunión del proyecto pórticos en 20 comunas intervenidas de la región metropolita</t>
  </si>
  <si>
    <t>Honorarios CALLE</t>
  </si>
  <si>
    <t xml:space="preserve"> Compra de Firmas electrónicas</t>
  </si>
  <si>
    <t>RED</t>
  </si>
  <si>
    <t>CONVENIO MARCO RNSP20-CMP-0078 - MUNICIPALIDAD DE LINARES</t>
  </si>
  <si>
    <t>CONVENIO MARCO RNSP20-CMP-0077 - MUNICIPALIDAD DE ESTACION CENTRAL</t>
  </si>
  <si>
    <t xml:space="preserve">02.03; CONVENIO MARCO RNSP20-CMP-0047 - Primavera </t>
  </si>
  <si>
    <t>02.03; CONVENIO MARCO RNSP20-CMP-0035 - Maipú</t>
  </si>
  <si>
    <t xml:space="preserve">02.03; CONVENIO MARCO RNSP20-CMP-0026 - Isla de Pascua </t>
  </si>
  <si>
    <t>02.03; CONVENIO MARCO RNSP20-CMP-0010 - Colchane</t>
  </si>
  <si>
    <t xml:space="preserve">02.03; CONVENIO MARCO RNSP20-CMP-0003 - Arica </t>
  </si>
  <si>
    <t>Servicio Radio Taxi  2020 - RED - ASTRAL</t>
  </si>
  <si>
    <t xml:space="preserve">Servicio Radio Taxi  2020 - RED - QUO VADIS LTDA. </t>
  </si>
  <si>
    <t>02.01, CDP 308; SKY AIRLINE S.A. - Pasajes Aéreos - RED</t>
  </si>
  <si>
    <t>02.01, CDP 302; LATAM AIRLINES GROUP S.A. - Pasajes Aéreos - RED</t>
  </si>
  <si>
    <t>Honorarios RED</t>
  </si>
  <si>
    <t>Por Proyectar (Campaña Difusión)</t>
  </si>
  <si>
    <t>DSEG</t>
  </si>
  <si>
    <t>Por Proyectar (Difusión)</t>
  </si>
  <si>
    <t>Correo de Piera Celis 14/07</t>
  </si>
  <si>
    <t>03.03, CDP 499; F/1381; ECOGLOW SPA - Material para realizar la Difusión del Programa a nivel central y regional.</t>
  </si>
  <si>
    <t>03.03; CDP 454, MANUEL OGANDO PRODUCCIONES PUBLICITARIAS LTDA. (MENSSAGE) - 5.000 volantes (material flyers) para ser usado en Difusión del Programa.</t>
  </si>
  <si>
    <t>Servicio Radio Taxi  2020 - DSEG - ASTRAL</t>
  </si>
  <si>
    <t>03.03, CDP 296; TELEFONICA EMPRESAS CHILE S.A. - Servicio Linea 600 400 0101. DSEG. 36 meses desde Marzo 2018 (4,72 UF Más IVA, viene incluido en el total)</t>
  </si>
  <si>
    <t>03.03, CDP 652; COMPUTACION E INGENIERIA S.A. - COINSA -  RENOVACION LICENCIA QLIK SOPORTE Y MANTENCION MODULOS 1  YEAR UNIDAD</t>
  </si>
  <si>
    <t>Honorarios DSEG</t>
  </si>
  <si>
    <t>Obs</t>
  </si>
  <si>
    <t>Por Devengar / Ajustar</t>
  </si>
  <si>
    <t>Devengo Real + Estimado</t>
  </si>
  <si>
    <t>Por Devengar</t>
  </si>
  <si>
    <t>Devengado al 15 de Julio</t>
  </si>
  <si>
    <t>Por Comprometer</t>
  </si>
  <si>
    <t>Comprometido</t>
  </si>
  <si>
    <t>Ppto Vigente</t>
  </si>
  <si>
    <t>Actividad</t>
  </si>
  <si>
    <t>Insumo</t>
  </si>
  <si>
    <t>CC</t>
  </si>
  <si>
    <t>Imputación</t>
  </si>
  <si>
    <t>Tipo</t>
  </si>
  <si>
    <t>Programa</t>
  </si>
  <si>
    <t>DFIN</t>
  </si>
  <si>
    <t>DAUD</t>
  </si>
  <si>
    <t xml:space="preserve">Gastos en Personas </t>
  </si>
  <si>
    <t>DIVGT</t>
  </si>
  <si>
    <t>CAVD</t>
  </si>
  <si>
    <t>DPLAN</t>
  </si>
  <si>
    <t xml:space="preserve">por proyectar </t>
  </si>
  <si>
    <t>Servicios Informáticos</t>
  </si>
  <si>
    <t>DPERS</t>
  </si>
  <si>
    <t>Se envío correo 14/05 a Mauricio Toro y Angel Caamaño</t>
  </si>
  <si>
    <t>Servicio de Actualización, Mantenimiento y Soporte Software I-Gestión (Sistema de Remuneraciones). Periodo 24 meses desde Mayo 2018 a Abril 2020, Según REX 798 del 17/04/2018. F/397</t>
  </si>
  <si>
    <t>Según correo Franco del 17/07</t>
  </si>
  <si>
    <t>Cursos Capacitación</t>
  </si>
  <si>
    <t>CDP 703; SERPROF LTDA. - Curso de Capacitación para 2 personas: Gestión de abastecimiento.</t>
  </si>
  <si>
    <t>CDP 702; PONTIFICIA UNIVERSIDAD CATOLICA DE CHILE - Curso de Capacitación para 2 personas: Herramientas para el diseño y gestión de proyectos.</t>
  </si>
  <si>
    <t>CDP 693; INFANTE Y OSSA LIMITADA - Curso de Capacitación para 30 personas: Curso de herramientas para el teletrabajo.</t>
  </si>
  <si>
    <t>CDP 686; KIBERNUM CAPACITACION S.A. - Curso de capacitación para 5 persona: Curso de Computación - WINDOWS 10</t>
  </si>
  <si>
    <t>CDP 669; CENTRO DE CAPACITACION ADOLFO IBAÑEZ SPA - Curso de capacitación para 16 personas: Curso de análisis criminológico espacial.</t>
  </si>
  <si>
    <t>CDP 638; KIBERNUM CAPACITACION S.A. - Curso de capacitación para 1 persona: Curso de Red HAT para la mejora en los aspectos tecnológicos.</t>
  </si>
  <si>
    <t>Orden de Compra : 654478-246-CM20 (Curso de capacitación para 9 personas: Comunicación efectiva.)</t>
  </si>
  <si>
    <t>01.02, UNIVERSIDAD DE CHILE; Curso de capacitación para 4 personas: Curso de computación - manejo de datos espaciales con SIG.</t>
  </si>
  <si>
    <t>01.02, CAPACITACION A DISTANCIA S.A; Curso de capacitación para 28 personas: para profundizar en las funcionalidades de Office 365, orientado al trabajo remoto al interior de la SPD.</t>
  </si>
  <si>
    <t>01.02, CDP 583; ASESORIAS PROFESIONALES ETNOGRAFICAS LIMITADA - Curso de capacitación para 34 personas: enfoque de género y equidad, modalidad online.</t>
  </si>
  <si>
    <t>Jardín Infantil</t>
  </si>
  <si>
    <t>F/664</t>
  </si>
  <si>
    <t>Sala Cuna</t>
  </si>
  <si>
    <t>Calzado</t>
  </si>
  <si>
    <t>Ejecutados</t>
  </si>
  <si>
    <t>Uniformes de Personal</t>
  </si>
  <si>
    <t xml:space="preserve">01.04, CDP 645; INFO2000 LTDA. - Contratatación de 1008 HH desarrollador senior para sistema de información para el área jurídica que le permita sistematizar </t>
  </si>
  <si>
    <t>Programas Computacionales</t>
  </si>
  <si>
    <t>DINF</t>
  </si>
  <si>
    <t>Sistemas de Información</t>
  </si>
  <si>
    <t xml:space="preserve">Orden de Compra : 654478-184-CM20 
</t>
  </si>
  <si>
    <t>Equipos de Comunicaciones para Redes Informáticas</t>
  </si>
  <si>
    <t>Por Proyectar Compra de Equipos.</t>
  </si>
  <si>
    <t>Equipos Computacionales y Periféricos</t>
  </si>
  <si>
    <t>Según correo de Pablo Burgos del 09/07/2020</t>
  </si>
  <si>
    <t>CDP 685; PROVECTIS S.A. - Adquisición de 2 Storage DELL scv30020 unidad y un servicio complementario para productos de hardware - instalación de equipamiento.</t>
  </si>
  <si>
    <t>Por Proyectar (Renovación de Licencias)</t>
  </si>
  <si>
    <t>Informaciones y Centro de Documentación</t>
  </si>
  <si>
    <t>Por Proyectar (ARGIS)</t>
  </si>
  <si>
    <t>Paulina envia correo a Pablo Burgos el 09/07/2020</t>
  </si>
  <si>
    <t>CDP 673; COMPUTACION E INGENIERIA S.A. - COINSA - RENOVACION DE SERVICIO COMPLEMENTARIO PARA PRODUCTOS DE LICENCIAS DE SOFTWARE - SOPORTE EXTENDIDO</t>
  </si>
  <si>
    <t>Contratación de 160 HH de Consultor senior, 240 HH Consultor Junior y 54 HH Jefe de proyecto para el Proyecto Migración a windows 10, dentro del contexto de mejora de nuestros sistemas internos se ha decidido realizar la migración del sistema operativo de las estaciones de trabajo a Window 10.</t>
  </si>
  <si>
    <t>SERVICIO COMPLEMENTARIO PARA PRODUCTOS DE HARDWARE - MANTENCIÓN Y REPARACIÓN DE EQUIPAMIENTO, CHASIS DELL POWEREDGE M1000E F/1164</t>
  </si>
  <si>
    <t>01.04, CDP 217; FOLIO 639; INFO2000 LTDA. - Profesional senior desarrollador php para continuar con el Sistema de Planificación y Control de Gestión de los Acuerdos Nacionales de SP (1.000 HH) (Feb-Mar-Abr)</t>
  </si>
  <si>
    <t>Ejeutados</t>
  </si>
  <si>
    <t>01.04, CDP 459; INTELLIGENCE ST SPA - Adjudicación de Licitación: Servicio de Mantención, reparación y provisión de repuestos para equipos de impresión. Valor Total UF 170 (50% con Ppto. 2020.-</t>
  </si>
  <si>
    <t>Mantenimiento y Reparación de Equipos Informáticos</t>
  </si>
  <si>
    <t>Servicio de Televisión pagada para oficinas de la Subsecretaría de Prevención del Delito. Vigencia 36 meses.  Término vigencia 06/12/2021. F/287</t>
  </si>
  <si>
    <t xml:space="preserve">01.04, CDP 651; Licitación: Contratar el Servicio de Enlace Internet en Oficina Central, ubicada en Agustinas 1235 piso 4, con conexión nacional 1 Gbps e internacional 50 Mbps. </t>
  </si>
  <si>
    <t>Enlaces de Telecomunicaciones</t>
  </si>
  <si>
    <t>Enlace de Datos (Servicio de Internet) San Joaquín. A contar de Enero y Junio (6 meses) de 2020. 8 UF mensuales - CLARO SERVICIOS S.A. F/1690</t>
  </si>
  <si>
    <t>Enlace de Datos (servicio de Internet) EMB. Enero y Febrero 2020 - CLARO SERVICIOS S.A.</t>
  </si>
  <si>
    <t>01.04, TELEFONICA EMPRESAS CHILE S.A. -Servicio de voz y datos  2019 OPER (Incluye Línea 600; LD y Bolsa de Minutos). 36 meses desde Marzo 2018). F/767</t>
  </si>
  <si>
    <t>Por Proyectar. LICITACIÓN</t>
  </si>
  <si>
    <t>Acceso a Internet</t>
  </si>
  <si>
    <t>Enlace de Datos (servicio de internet)  EMB.  A contar de Marzo y hasta Agosto (6 meses) de 2020. 33 UF mensuales - CLARO SERVICIOS S.A. F/2040 (Mar - Abr)</t>
  </si>
  <si>
    <t>Telefonía Celular</t>
  </si>
  <si>
    <t>Servicio de Telefonía y Datos Móviles. Duración del Contrato 18 meses a contar del 19/02/2020 - SPD. F/1996</t>
  </si>
  <si>
    <t>01.04 - Telefonía Móvil desde el 20/12 al 29/02 (2 meses 2020) - SPD</t>
  </si>
  <si>
    <t>Por Programar</t>
  </si>
  <si>
    <t>Insumos, Repuestos y Accesorios Computacionales</t>
  </si>
  <si>
    <t>01.03, CDP 201; COMERCIAL VYB SPA - Adquisición de 6 aires acondicionado portátiles, ya que el actual sistema de AACC presenta fallas.</t>
  </si>
  <si>
    <t>Máquinas y Equipos de Oficina</t>
  </si>
  <si>
    <t>DADM</t>
  </si>
  <si>
    <t>Saldo subt. 29</t>
  </si>
  <si>
    <t>CDP 671, COMERCIAL E INDUSTRIAL MUEBLES ASENJO LTDA. - Adquisición de mobiliario para dependencias de la SPD (4 percheros y 18 sillas)</t>
  </si>
  <si>
    <t>Mobiliario y Otros</t>
  </si>
  <si>
    <t>01.03, CDP 654; ERGOTEC MUEBLES S.A. - Adquisición de 12 gabinetes colgantes para estaciones de trabajo en planta libre y 2 estantes para archivo.</t>
  </si>
  <si>
    <t xml:space="preserve">01.03, CDP 653; IMPORTADORA EXPORTADORA Y COMERCIALIZADORA DIGITADOR PRODUCTOS ERGONOM; Adquisición de 50 sillas ergonomicas </t>
  </si>
  <si>
    <t>METALURGICA SILCOSIL LTDA.Adquisición de 42 sillas operativas y 2 mesas de reunión redondas.</t>
  </si>
  <si>
    <t>Gastos Menores</t>
  </si>
  <si>
    <t xml:space="preserve"> Rendición FOFI al 31/04/2020 - Juan Salazar</t>
  </si>
  <si>
    <t>01.03, CDP 298; INGENIERIA DE SOFTWARE LTDA. - Servicio de Actualización, Mantenimiento y Soporte de Software I-Gestión (sistema de Inventario). Vigencia 24 meses a contar del 01/06/2019.</t>
  </si>
  <si>
    <t xml:space="preserve">01.03; Contratación seguros automotrices para todos los automóviles de la SPD </t>
  </si>
  <si>
    <t>Primas y Gastos de Seguros</t>
  </si>
  <si>
    <t>Arriendo de Bodega 4, Salvador Allende 115, San Joaquin. Año 2020.</t>
  </si>
  <si>
    <t>Arriendo de Bodegas</t>
  </si>
  <si>
    <t>01.03; Gastos Comunes Edificio Moneda Bicentenario año 2020.</t>
  </si>
  <si>
    <t>Gastos Comunes</t>
  </si>
  <si>
    <t>01.03; Comunidad Agustinas 1235; Gastos Comunes 2020 - Oficinas Agustinas</t>
  </si>
  <si>
    <t xml:space="preserve">01.03; Inmobiliaria Bureo S.A.; Arriendo Año 2020 Piso 4 Edificio Agustinas 1235 Santiago. (Denuncia Seguro). Vigencia 3 años a contar del 01/07/2017. Renovación Automática. </t>
  </si>
  <si>
    <t>Arriendo de Edificio para Oficina</t>
  </si>
  <si>
    <t>El contrato dura hasta julio 2020</t>
  </si>
  <si>
    <t>Servicio de Monitoreo de Prensa. Vigencia 24 meses a contar del mes de Agosto de 2018.-</t>
  </si>
  <si>
    <t>Servicios de Suscripción y Similares</t>
  </si>
  <si>
    <t>Almacenaje y Custodia de Documentación y Cintas Magnéticas. Vigencia 48 meses (Inicio  01/04/2018). F/526</t>
  </si>
  <si>
    <t>Bodegajes y Almacenamientos</t>
  </si>
  <si>
    <t>Otros Fletes</t>
  </si>
  <si>
    <t>Tags</t>
  </si>
  <si>
    <t>01.03, VESPUCIO NORTE S.A. - Tag Autopista Vespucio Norte</t>
  </si>
  <si>
    <t>01.03, AUTOPISTA CENTRAL - Tag Autopista Autopista Central</t>
  </si>
  <si>
    <t>01.03, RUTA DEL MAIPO SOCIEDAD CONCESIONARIA S.A. - Tag Autopista Ruta del Maipo</t>
  </si>
  <si>
    <t>01.03, SOC. CONCESIONARIA AUTOPISTA DEL ACONCAGUA S.A. - Tag Autovía Santiago Lampa</t>
  </si>
  <si>
    <t>01.03, COSTANERA NORTE S.A. - Tag Autopista Costanera Norte</t>
  </si>
  <si>
    <t>01.03, SOCIEDAD CONCESIONARIA AUTOPISTA NUEVA VESPUCIO SUR S.A. - Tag Autopista Vespucio Sur</t>
  </si>
  <si>
    <t>Radio Taxi</t>
  </si>
  <si>
    <t xml:space="preserve">Servicio Radio Taxi  2020 - OPER DADM - ASTRAL  </t>
  </si>
  <si>
    <t>Servicio Radio Taxi  2020 - OPER DADM  - QUO VADIS LTDA.</t>
  </si>
  <si>
    <t>Pasajes Aéreos Nacionales</t>
  </si>
  <si>
    <t>01.03, CDP 306; SKY AIRLINE S.A. - Pasajes Aéreos - OPER SPD</t>
  </si>
  <si>
    <t>01.03, CDP 300; LATAM AIRLINES GROUP S.A. - Pasajes Aéreos - OPER SPD</t>
  </si>
  <si>
    <t>Servicios de Aseo</t>
  </si>
  <si>
    <t>Orden de Compra : 654478-20-SE20</t>
  </si>
  <si>
    <t>Servicios de Encuadernación y Empaste</t>
  </si>
  <si>
    <t>CDP 658; PORTILLO S.A. - Servicio de Mantención Preventiva de 80. Kms. a vehículo institucional Camioneta Nissan Terrano Patente GRYF-37</t>
  </si>
  <si>
    <t>Mantenimiento y Reparación de Vehículos</t>
  </si>
  <si>
    <t>Informa Juan el 18/06/2020</t>
  </si>
  <si>
    <t xml:space="preserve">01.03, CDP 332; AUTOMOTORES GILDEMEISTER S.A. - Servicio de mantención - preventiva y correctiva - de los vehículos institucionales Maca Hyundai. </t>
  </si>
  <si>
    <t>Por proyectar</t>
  </si>
  <si>
    <t>Mantenimiento y Reparación de Edificaciones</t>
  </si>
  <si>
    <t xml:space="preserve">CDP 689; Adjudicación Licitación: Convenio por Servicio de Mantención, remodelaciones y reparaciones en las dependencias de la SPD.RIMALTO SERVICIOS INTEGRALES LIMITADA </t>
  </si>
  <si>
    <t>Servicio de Remodelación, Mantención y/o Reparación de las Dependencias de la SPD.(Vigencia 24 Meses, Inicio 02/05/2018). Prórroga 6 meses a contar de Mayo 2020, según informa Juan en Reunión del 07/05. F/380</t>
  </si>
  <si>
    <t xml:space="preserve">01.03; CDP 294; Mantención de 34 extintores y 1 carro PQS de 25 Kq. </t>
  </si>
  <si>
    <t>CHILEXPRESS. Servicio de envío de correspondencia SPD año 2019</t>
  </si>
  <si>
    <t>Correo</t>
  </si>
  <si>
    <t>CORREOS DE CHILE. Servicio de envío de correspondencia SPD año 2020.-  F/256</t>
  </si>
  <si>
    <t>Equipos Menores</t>
  </si>
  <si>
    <t>Otros Materiales, Repuestos y Útiles Diversos para</t>
  </si>
  <si>
    <t>Repuestos y Accesorios para Mantenimiento y Repara</t>
  </si>
  <si>
    <t>CDP 679; PRODEIM IMPORTADORA SPA -Proveer 4 neumáticos para efectuar recambio de vehículo fiscal patente DRDT-54.</t>
  </si>
  <si>
    <t>Materiales para Mantenimiento y Reparaciones de Inmuebles</t>
  </si>
  <si>
    <t>Menaje para Oficina, Casino y Otros</t>
  </si>
  <si>
    <t>Materiales y Útiles de Aseo</t>
  </si>
  <si>
    <t>Materiales de Oficina</t>
  </si>
  <si>
    <t>Para Vehículos</t>
  </si>
  <si>
    <t>Rendición FOFI al 31/01/2020 - Juan  Salazar Lorca</t>
  </si>
  <si>
    <t>01.03, CDP 207; ESMAX DISTRIBUCION LIMITADA - Adquisición de Combustible 2020 para vehículos Institucionales Fiscales.</t>
  </si>
  <si>
    <t>Otros Servicios Técnicos Profesionales</t>
  </si>
  <si>
    <t>SELLO</t>
  </si>
  <si>
    <t>Gastos de Representación</t>
  </si>
  <si>
    <t>GAB</t>
  </si>
  <si>
    <t>Impresión</t>
  </si>
  <si>
    <t>DIVPE</t>
  </si>
  <si>
    <t>Viáticos contratas</t>
  </si>
  <si>
    <t>Viáticos planta</t>
  </si>
  <si>
    <t>DCNAC</t>
  </si>
  <si>
    <t>DAFP</t>
  </si>
  <si>
    <t>Información y Centros de Documentación</t>
  </si>
  <si>
    <t>DJUR</t>
  </si>
  <si>
    <t>Viáticos Internacionales</t>
  </si>
  <si>
    <t>DGT</t>
  </si>
  <si>
    <t>CNAC</t>
  </si>
  <si>
    <t xml:space="preserve">Servicio de monitoreo de RRSS a través del uso de SOFTWARE de MONITOREO DE REDES SOCIALES ANALITICPRO y diagnósticos de análisis de favorabilidad. </t>
  </si>
  <si>
    <t>DCOM</t>
  </si>
  <si>
    <t xml:space="preserve">Obs: cuando se adjudique hay actualizar, liberar los recursos del compromiso futuro. </t>
  </si>
  <si>
    <t>07.02, CDP 638; Licitación: Servicio de Monitoreo de Prensa. (2 años, reemplaza a Litoral press)</t>
  </si>
  <si>
    <t>Impresión -Comunicaciones</t>
  </si>
  <si>
    <t>Informa Pamela Maliqueo, según correo del 09/07/2020</t>
  </si>
  <si>
    <t>07.01, CDP 587; COLORES Y TINTAS SPA - 100.000 dípticos como material de difusión del Programa Apoyo a Víctimas.</t>
  </si>
  <si>
    <t>En espera de ajuste por los 164.934</t>
  </si>
  <si>
    <t>Orden de Compra : 654478-105-CM20</t>
  </si>
  <si>
    <t>Servicios de Publicidad</t>
  </si>
  <si>
    <t>CGEN</t>
  </si>
  <si>
    <t>Orden de Compra : 654478-85-CM20</t>
  </si>
  <si>
    <t>Orden de Compra : 654478-126-CM20</t>
  </si>
  <si>
    <t>Correo enviado a Carolina M. 04/06</t>
  </si>
  <si>
    <t>CEAD</t>
  </si>
  <si>
    <t>Evaluación y Estudios</t>
  </si>
  <si>
    <t>Adjudicación Licitación: Estudio para explorar la magnitud de los delitos y manifestaciones de violencia que se producen por razones de odio hacia personas que se identifiquen como parte de la comunidad LGBTIQ+.</t>
  </si>
  <si>
    <t>06.01, CDP 197; STATCOM ESTADISTICOS CONSULTORES - Adjudica Licitación 654478-5-LQ19: Estudio para Obtener información relevante sobre la magnitud y características de la violencia de género.</t>
  </si>
  <si>
    <t>Devengado al 15 de julio</t>
  </si>
  <si>
    <t>Convenio se enviará a firma del Alcalde el día miércoles 22</t>
  </si>
  <si>
    <t xml:space="preserve">          81.000.000 </t>
  </si>
  <si>
    <t>Firma del Alcalde</t>
  </si>
  <si>
    <t xml:space="preserve">             2.592.000 </t>
  </si>
  <si>
    <t>En DJL para elaboración de REX</t>
  </si>
  <si>
    <t xml:space="preserve">             7.776.000 </t>
  </si>
  <si>
    <t>Para elaboración REX, pero tiene convenio vencido, por ello no quedo para julio</t>
  </si>
  <si>
    <t xml:space="preserve">             9.072.000 </t>
  </si>
  <si>
    <t xml:space="preserve">             6.480.000 </t>
  </si>
  <si>
    <t>Convenio firmado por Intendente, se despachará el día de hoy a la SPD</t>
  </si>
  <si>
    <t xml:space="preserve">          44.496.898 </t>
  </si>
  <si>
    <t>Se solicitará modificacion de convenio dentro de los próximos días</t>
  </si>
  <si>
    <t xml:space="preserve">       125.000.000 </t>
  </si>
  <si>
    <t>DJL para elaboración de convenio</t>
  </si>
  <si>
    <t xml:space="preserve">          40.000.000 </t>
  </si>
  <si>
    <t>En firma del Alcalde</t>
  </si>
  <si>
    <t xml:space="preserve">          40.000.000 </t>
  </si>
  <si>
    <t>RNSP</t>
  </si>
  <si>
    <t>Observaciones</t>
  </si>
  <si>
    <t>Monto</t>
  </si>
  <si>
    <t>Descripción</t>
  </si>
  <si>
    <t>Item Presupuestario</t>
  </si>
  <si>
    <t>no incluir</t>
  </si>
  <si>
    <t>PROYECTADO</t>
  </si>
  <si>
    <t>05</t>
  </si>
  <si>
    <t>Del Gobierno Central</t>
  </si>
  <si>
    <t>201</t>
  </si>
  <si>
    <t>Recuperacion de Licencias
Médicas - FONASA</t>
  </si>
  <si>
    <t xml:space="preserve">INTEGROS AL FISCO </t>
  </si>
  <si>
    <t>PRESTACIONES PREVISIONALES</t>
  </si>
  <si>
    <t>presupuesto vigente</t>
  </si>
  <si>
    <t>Ejecucion al 31/07/2022</t>
  </si>
  <si>
    <t>Agosto</t>
  </si>
  <si>
    <t>Septiembre</t>
  </si>
  <si>
    <t>Octubre</t>
  </si>
  <si>
    <t>Noviembre</t>
  </si>
  <si>
    <t>Diciembre</t>
  </si>
  <si>
    <t>Total</t>
  </si>
  <si>
    <t>MES: DICIEMBRE 2022</t>
  </si>
  <si>
    <t>Mobiliario y otros</t>
  </si>
  <si>
    <t>06</t>
  </si>
  <si>
    <t>Maquinas y equipos</t>
  </si>
  <si>
    <t>Equipos informaticos</t>
  </si>
  <si>
    <t>PROGRAMA DE CAJA SUBSECRETARIA DE PREVENCION DEL DELITO (PROGRAMA 02)</t>
  </si>
  <si>
    <t>Ley de Presupuesto  2023</t>
  </si>
  <si>
    <t>TOTAL 2022</t>
  </si>
  <si>
    <t>Libre</t>
  </si>
  <si>
    <t>Resto</t>
  </si>
  <si>
    <t>SALDO INICIAL</t>
  </si>
  <si>
    <t>INTEGROS AL FISCO</t>
  </si>
  <si>
    <t>Otros integros al fisco</t>
  </si>
  <si>
    <t>EJECUTADO</t>
  </si>
  <si>
    <t>EN EJECUCION</t>
  </si>
  <si>
    <t>Presupuesto vigente</t>
  </si>
  <si>
    <t>Modificion presupuestaria ajuste fisal</t>
  </si>
  <si>
    <t>MES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</si>
</sst>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6" formatCode="_-* #,##0_-;\-* #,##0_-;_-* &quot;-&quot;??_-;_-@_-"/>
    <numFmt numFmtId="167" formatCode="0.0000"/>
    <numFmt numFmtId="168" formatCode="#,##0.000"/>
    <numFmt numFmtId="170" formatCode="_-* #,##0.00\ _€_-;\-* #,##0.00\ _€_-;_-* &quot;-&quot;??\ _€_-;_-@_-"/>
    <numFmt numFmtId="171" formatCode="_ * #,##0.0_ ;_ * \-#,##0.0_ ;_ * &quot;-&quot;_ ;_ @_ "/>
  </numFmts>
  <fonts count="3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theme="1" tint="0.249977111117893"/>
      </patternFill>
    </fill>
    <fill>
      <patternFill patternType="solid">
        <fgColor theme="5" tint="-0.249977111117893"/>
        <bgColor theme="1" tint="0.249977111117893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29" fillId="14" borderId="0" applyNumberFormat="0" applyBorder="0" applyAlignment="0" applyProtection="0"/>
    <xf numFmtId="0" fontId="6" fillId="0" borderId="0"/>
    <xf numFmtId="164" fontId="30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58">
    <xf numFmtId="0" fontId="0" fillId="0" borderId="0" xfId="0"/>
    <xf numFmtId="0" fontId="7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3" fontId="13" fillId="0" borderId="5" xfId="0" applyNumberFormat="1" applyFont="1" applyBorder="1"/>
    <xf numFmtId="0" fontId="0" fillId="0" borderId="9" xfId="0" applyBorder="1" applyAlignment="1">
      <alignment horizontal="center"/>
    </xf>
    <xf numFmtId="0" fontId="13" fillId="0" borderId="0" xfId="0" applyFont="1" applyAlignment="1">
      <alignment horizontal="center"/>
    </xf>
    <xf numFmtId="3" fontId="13" fillId="0" borderId="8" xfId="0" applyNumberFormat="1" applyFont="1" applyBorder="1"/>
    <xf numFmtId="167" fontId="0" fillId="0" borderId="0" xfId="0" applyNumberFormat="1"/>
    <xf numFmtId="166" fontId="0" fillId="0" borderId="0" xfId="2" applyNumberFormat="1" applyFont="1"/>
    <xf numFmtId="0" fontId="0" fillId="0" borderId="8" xfId="0" applyBorder="1"/>
    <xf numFmtId="3" fontId="2" fillId="0" borderId="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11" xfId="0" applyNumberFormat="1" applyBorder="1"/>
    <xf numFmtId="3" fontId="0" fillId="0" borderId="0" xfId="0" applyNumberFormat="1"/>
    <xf numFmtId="166" fontId="6" fillId="0" borderId="0" xfId="2" applyNumberFormat="1" applyFont="1"/>
    <xf numFmtId="3" fontId="16" fillId="3" borderId="15" xfId="0" applyNumberFormat="1" applyFont="1" applyFill="1" applyBorder="1" applyAlignment="1">
      <alignment horizontal="center"/>
    </xf>
    <xf numFmtId="166" fontId="0" fillId="0" borderId="0" xfId="0" applyNumberFormat="1"/>
    <xf numFmtId="166" fontId="2" fillId="0" borderId="8" xfId="2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0" fillId="0" borderId="0" xfId="0" applyNumberFormat="1"/>
    <xf numFmtId="166" fontId="0" fillId="0" borderId="0" xfId="2" applyNumberFormat="1" applyFont="1" applyFill="1"/>
    <xf numFmtId="168" fontId="0" fillId="0" borderId="0" xfId="0" applyNumberFormat="1"/>
    <xf numFmtId="166" fontId="15" fillId="0" borderId="0" xfId="2" applyNumberFormat="1" applyFont="1"/>
    <xf numFmtId="0" fontId="9" fillId="0" borderId="0" xfId="0" applyFont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7" fillId="0" borderId="12" xfId="0" applyFont="1" applyBorder="1" applyAlignment="1">
      <alignment vertical="top" wrapText="1"/>
    </xf>
    <xf numFmtId="0" fontId="0" fillId="0" borderId="18" xfId="0" applyBorder="1"/>
    <xf numFmtId="0" fontId="17" fillId="0" borderId="0" xfId="0" applyFont="1" applyAlignment="1">
      <alignment vertical="top" wrapText="1"/>
    </xf>
    <xf numFmtId="3" fontId="2" fillId="0" borderId="0" xfId="0" applyNumberFormat="1" applyFont="1"/>
    <xf numFmtId="0" fontId="8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quotePrefix="1" applyFont="1" applyBorder="1" applyAlignment="1">
      <alignment vertical="center"/>
    </xf>
    <xf numFmtId="166" fontId="3" fillId="0" borderId="1" xfId="2" applyNumberFormat="1" applyFont="1" applyBorder="1" applyAlignment="1">
      <alignment vertical="center"/>
    </xf>
    <xf numFmtId="166" fontId="8" fillId="3" borderId="1" xfId="2" applyNumberFormat="1" applyFont="1" applyFill="1" applyBorder="1" applyAlignment="1">
      <alignment vertical="center"/>
    </xf>
    <xf numFmtId="9" fontId="2" fillId="0" borderId="0" xfId="3" applyFont="1" applyAlignment="1">
      <alignment vertical="center"/>
    </xf>
    <xf numFmtId="0" fontId="0" fillId="0" borderId="1" xfId="0" applyBorder="1"/>
    <xf numFmtId="0" fontId="20" fillId="0" borderId="0" xfId="0" applyFont="1"/>
    <xf numFmtId="0" fontId="21" fillId="0" borderId="0" xfId="0" applyFont="1"/>
    <xf numFmtId="41" fontId="20" fillId="0" borderId="0" xfId="4" applyFont="1"/>
    <xf numFmtId="41" fontId="20" fillId="0" borderId="0" xfId="0" applyNumberFormat="1" applyFont="1"/>
    <xf numFmtId="41" fontId="12" fillId="6" borderId="1" xfId="0" applyNumberFormat="1" applyFont="1" applyFill="1" applyBorder="1" applyAlignment="1">
      <alignment vertical="center"/>
    </xf>
    <xf numFmtId="41" fontId="21" fillId="6" borderId="1" xfId="4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horizontal="center" vertical="center"/>
    </xf>
    <xf numFmtId="41" fontId="22" fillId="0" borderId="1" xfId="0" applyNumberFormat="1" applyFont="1" applyBorder="1" applyAlignment="1">
      <alignment vertical="center"/>
    </xf>
    <xf numFmtId="41" fontId="23" fillId="0" borderId="1" xfId="4" applyFont="1" applyBorder="1" applyAlignment="1">
      <alignment vertical="center"/>
    </xf>
    <xf numFmtId="41" fontId="24" fillId="6" borderId="1" xfId="4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41" fontId="23" fillId="4" borderId="1" xfId="4" applyFont="1" applyFill="1" applyBorder="1" applyAlignment="1">
      <alignment vertical="center"/>
    </xf>
    <xf numFmtId="171" fontId="0" fillId="0" borderId="0" xfId="0" applyNumberFormat="1"/>
    <xf numFmtId="41" fontId="21" fillId="0" borderId="0" xfId="4" applyFont="1"/>
    <xf numFmtId="0" fontId="21" fillId="6" borderId="1" xfId="0" applyFont="1" applyFill="1" applyBorder="1" applyAlignment="1">
      <alignment vertical="center" wrapText="1"/>
    </xf>
    <xf numFmtId="0" fontId="21" fillId="6" borderId="4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20" fillId="0" borderId="1" xfId="0" applyFont="1" applyBorder="1"/>
    <xf numFmtId="41" fontId="12" fillId="6" borderId="1" xfId="0" applyNumberFormat="1" applyFont="1" applyFill="1" applyBorder="1" applyAlignment="1">
      <alignment horizontal="right" vertical="center"/>
    </xf>
    <xf numFmtId="41" fontId="21" fillId="6" borderId="1" xfId="4" applyFont="1" applyFill="1" applyBorder="1" applyAlignment="1">
      <alignment horizontal="right" vertical="center"/>
    </xf>
    <xf numFmtId="41" fontId="23" fillId="4" borderId="4" xfId="4" applyFont="1" applyFill="1" applyBorder="1" applyAlignment="1">
      <alignment vertical="center"/>
    </xf>
    <xf numFmtId="0" fontId="20" fillId="4" borderId="1" xfId="0" applyFont="1" applyFill="1" applyBorder="1"/>
    <xf numFmtId="0" fontId="24" fillId="4" borderId="1" xfId="0" applyFont="1" applyFill="1" applyBorder="1" applyAlignment="1">
      <alignment vertical="center" wrapText="1"/>
    </xf>
    <xf numFmtId="0" fontId="20" fillId="4" borderId="0" xfId="0" applyFont="1" applyFill="1"/>
    <xf numFmtId="41" fontId="23" fillId="0" borderId="1" xfId="4" applyFont="1" applyFill="1" applyBorder="1" applyAlignment="1">
      <alignment vertical="center"/>
    </xf>
    <xf numFmtId="41" fontId="23" fillId="7" borderId="1" xfId="4" applyFont="1" applyFill="1" applyBorder="1" applyAlignment="1">
      <alignment vertical="center"/>
    </xf>
    <xf numFmtId="41" fontId="24" fillId="8" borderId="1" xfId="4" applyFont="1" applyFill="1" applyBorder="1" applyAlignment="1">
      <alignment vertical="center"/>
    </xf>
    <xf numFmtId="0" fontId="24" fillId="7" borderId="1" xfId="0" applyFont="1" applyFill="1" applyBorder="1" applyAlignment="1">
      <alignment vertical="center" wrapText="1"/>
    </xf>
    <xf numFmtId="41" fontId="25" fillId="0" borderId="1" xfId="0" applyNumberFormat="1" applyFont="1" applyBorder="1" applyAlignment="1">
      <alignment vertical="center"/>
    </xf>
    <xf numFmtId="0" fontId="24" fillId="0" borderId="0" xfId="0" applyFont="1"/>
    <xf numFmtId="0" fontId="26" fillId="9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6" fillId="11" borderId="19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41" fontId="27" fillId="4" borderId="0" xfId="0" applyNumberFormat="1" applyFont="1" applyFill="1"/>
    <xf numFmtId="41" fontId="28" fillId="0" borderId="0" xfId="0" applyNumberFormat="1" applyFont="1"/>
    <xf numFmtId="41" fontId="27" fillId="0" borderId="0" xfId="0" applyNumberFormat="1" applyFont="1"/>
    <xf numFmtId="41" fontId="12" fillId="0" borderId="1" xfId="0" applyNumberFormat="1" applyFont="1" applyBorder="1" applyAlignment="1">
      <alignment vertical="center"/>
    </xf>
    <xf numFmtId="41" fontId="20" fillId="0" borderId="1" xfId="4" applyFont="1" applyBorder="1" applyAlignment="1">
      <alignment vertical="center"/>
    </xf>
    <xf numFmtId="41" fontId="20" fillId="6" borderId="1" xfId="4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41" fontId="12" fillId="0" borderId="1" xfId="0" applyNumberFormat="1" applyFont="1" applyBorder="1" applyAlignment="1">
      <alignment vertical="center" wrapText="1"/>
    </xf>
    <xf numFmtId="41" fontId="22" fillId="0" borderId="1" xfId="0" applyNumberFormat="1" applyFont="1" applyBorder="1" applyAlignment="1">
      <alignment vertical="center" wrapText="1"/>
    </xf>
    <xf numFmtId="41" fontId="20" fillId="4" borderId="1" xfId="4" applyFont="1" applyFill="1" applyBorder="1" applyAlignment="1">
      <alignment vertical="center"/>
    </xf>
    <xf numFmtId="41" fontId="13" fillId="6" borderId="1" xfId="0" applyNumberFormat="1" applyFont="1" applyFill="1" applyBorder="1" applyAlignment="1">
      <alignment vertical="center"/>
    </xf>
    <xf numFmtId="41" fontId="12" fillId="12" borderId="1" xfId="0" applyNumberFormat="1" applyFont="1" applyFill="1" applyBorder="1" applyAlignment="1">
      <alignment vertical="center"/>
    </xf>
    <xf numFmtId="41" fontId="20" fillId="12" borderId="1" xfId="4" applyFont="1" applyFill="1" applyBorder="1" applyAlignment="1">
      <alignment vertical="center"/>
    </xf>
    <xf numFmtId="41" fontId="20" fillId="0" borderId="1" xfId="4" applyFont="1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41" fontId="22" fillId="4" borderId="1" xfId="0" applyNumberFormat="1" applyFont="1" applyFill="1" applyBorder="1" applyAlignment="1">
      <alignment vertical="center" wrapText="1"/>
    </xf>
    <xf numFmtId="3" fontId="20" fillId="0" borderId="0" xfId="0" applyNumberFormat="1" applyFont="1"/>
    <xf numFmtId="42" fontId="0" fillId="0" borderId="0" xfId="6" applyFont="1" applyAlignment="1">
      <alignment horizontal="right"/>
    </xf>
    <xf numFmtId="42" fontId="0" fillId="5" borderId="0" xfId="6" applyFont="1" applyFill="1" applyAlignment="1">
      <alignment horizontal="right"/>
    </xf>
    <xf numFmtId="42" fontId="0" fillId="5" borderId="0" xfId="6" applyFont="1" applyFill="1" applyAlignment="1">
      <alignment horizontal="right" vertical="center"/>
    </xf>
    <xf numFmtId="42" fontId="29" fillId="14" borderId="0" xfId="6" applyFont="1" applyFill="1" applyAlignment="1">
      <alignment horizontal="right"/>
    </xf>
    <xf numFmtId="0" fontId="29" fillId="14" borderId="0" xfId="8"/>
    <xf numFmtId="42" fontId="0" fillId="15" borderId="0" xfId="6" applyFont="1" applyFill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166" fontId="0" fillId="0" borderId="0" xfId="2" applyNumberFormat="1" applyFont="1" applyFill="1" applyBorder="1"/>
    <xf numFmtId="166" fontId="0" fillId="0" borderId="0" xfId="2" applyNumberFormat="1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6" fontId="0" fillId="0" borderId="1" xfId="2" applyNumberFormat="1" applyFont="1" applyBorder="1"/>
    <xf numFmtId="166" fontId="0" fillId="0" borderId="1" xfId="2" applyNumberFormat="1" applyFont="1" applyBorder="1" applyAlignment="1">
      <alignment horizontal="center"/>
    </xf>
    <xf numFmtId="166" fontId="0" fillId="0" borderId="1" xfId="0" applyNumberFormat="1" applyBorder="1"/>
    <xf numFmtId="166" fontId="2" fillId="0" borderId="0" xfId="2" applyNumberFormat="1" applyFont="1" applyAlignment="1">
      <alignment vertical="center"/>
    </xf>
    <xf numFmtId="166" fontId="5" fillId="0" borderId="0" xfId="2" applyNumberFormat="1" applyFont="1" applyAlignment="1">
      <alignment vertical="center"/>
    </xf>
    <xf numFmtId="166" fontId="8" fillId="3" borderId="1" xfId="2" applyNumberFormat="1" applyFont="1" applyFill="1" applyBorder="1" applyAlignment="1">
      <alignment horizontal="center" vertical="center" wrapText="1"/>
    </xf>
    <xf numFmtId="166" fontId="3" fillId="6" borderId="1" xfId="2" applyNumberFormat="1" applyFont="1" applyFill="1" applyBorder="1" applyAlignment="1">
      <alignment vertical="center"/>
    </xf>
    <xf numFmtId="41" fontId="3" fillId="6" borderId="1" xfId="4" applyFont="1" applyFill="1" applyBorder="1" applyAlignment="1">
      <alignment vertical="center"/>
    </xf>
    <xf numFmtId="166" fontId="3" fillId="2" borderId="1" xfId="2" applyNumberFormat="1" applyFont="1" applyFill="1" applyBorder="1" applyAlignment="1">
      <alignment vertical="center"/>
    </xf>
    <xf numFmtId="166" fontId="2" fillId="0" borderId="1" xfId="2" applyNumberFormat="1" applyFont="1" applyBorder="1" applyAlignment="1">
      <alignment vertical="center"/>
    </xf>
    <xf numFmtId="166" fontId="2" fillId="0" borderId="1" xfId="2" quotePrefix="1" applyNumberFormat="1" applyFont="1" applyBorder="1" applyAlignment="1">
      <alignment vertical="center"/>
    </xf>
    <xf numFmtId="166" fontId="2" fillId="6" borderId="1" xfId="2" applyNumberFormat="1" applyFont="1" applyFill="1" applyBorder="1" applyAlignment="1">
      <alignment vertical="center"/>
    </xf>
    <xf numFmtId="41" fontId="2" fillId="6" borderId="1" xfId="4" applyFont="1" applyFill="1" applyBorder="1" applyAlignment="1">
      <alignment vertical="center"/>
    </xf>
    <xf numFmtId="166" fontId="2" fillId="2" borderId="1" xfId="2" applyNumberFormat="1" applyFont="1" applyFill="1" applyBorder="1" applyAlignment="1">
      <alignment vertical="center"/>
    </xf>
    <xf numFmtId="49" fontId="3" fillId="0" borderId="1" xfId="2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vertical="center"/>
    </xf>
    <xf numFmtId="166" fontId="2" fillId="0" borderId="0" xfId="2" applyNumberFormat="1" applyFont="1" applyBorder="1" applyAlignment="1">
      <alignment vertical="center"/>
    </xf>
    <xf numFmtId="0" fontId="9" fillId="13" borderId="0" xfId="7" applyFont="1" applyAlignment="1">
      <alignment horizontal="center"/>
    </xf>
    <xf numFmtId="0" fontId="0" fillId="0" borderId="0" xfId="0" applyAlignment="1">
      <alignment horizontal="center" wrapText="1"/>
    </xf>
    <xf numFmtId="0" fontId="29" fillId="14" borderId="0" xfId="8" applyAlignment="1">
      <alignment horizontal="center"/>
    </xf>
    <xf numFmtId="42" fontId="9" fillId="13" borderId="0" xfId="7" applyNumberFormat="1" applyFont="1" applyAlignment="1">
      <alignment horizontal="center"/>
    </xf>
    <xf numFmtId="42" fontId="9" fillId="13" borderId="0" xfId="6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8" fillId="3" borderId="13" xfId="0" applyNumberFormat="1" applyFont="1" applyFill="1" applyBorder="1" applyAlignment="1">
      <alignment horizontal="center"/>
    </xf>
    <xf numFmtId="3" fontId="8" fillId="3" borderId="14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7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left" wrapText="1"/>
    </xf>
    <xf numFmtId="166" fontId="1" fillId="0" borderId="0" xfId="2" applyNumberFormat="1" applyFont="1" applyAlignment="1">
      <alignment horizontal="center" vertical="center"/>
    </xf>
  </cellXfs>
  <cellStyles count="12">
    <cellStyle name="40% - Énfasis1" xfId="7" builtinId="31"/>
    <cellStyle name="Énfasis5" xfId="8" builtinId="45"/>
    <cellStyle name="Millares" xfId="2" builtinId="3"/>
    <cellStyle name="Millares [0]" xfId="4" builtinId="6"/>
    <cellStyle name="Millares [0] 14" xfId="11" xr:uid="{3CA0828A-F90E-4ECE-8BA6-8BE0A3789C52}"/>
    <cellStyle name="Millares 2" xfId="5" xr:uid="{00000000-0005-0000-0000-000004000000}"/>
    <cellStyle name="Millares 41" xfId="10" xr:uid="{08375D06-CD23-4A3F-B908-3E9949509C09}"/>
    <cellStyle name="Moneda [0]" xfId="6" builtinId="7"/>
    <cellStyle name="Normal" xfId="0" builtinId="0"/>
    <cellStyle name="normal 2" xfId="1" xr:uid="{00000000-0005-0000-0000-000007000000}"/>
    <cellStyle name="Normal 23" xfId="9" xr:uid="{16AC612C-63EE-42E3-AAC3-F60418FFB8B5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amano\Desktop\REPORTE-CIRCULAR-16-PERIODO-ITRIMESTRE2017-V%2004%202%202017_DA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CION%20PRESUPUESTO\2016\15_Informe%20Programas_2016\control%20presupue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rce\Desktop\Convenios%20por%20Devegar%20y%20por%20Tranferir%202020%20al%2031-08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amano\AppData\Local\Microsoft\Windows\Temporary%20Internet%20Files\Content.Outlook\SWD4G38U\07-01_Revisi&#243;n%20CDP%20Honorarios_2016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-Finanzas/SECCION%20PRESUPUESTO/2021/2_CDP%202021/CDP_2021_Program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  <row r="3">
          <cell r="BM3" t="str">
            <v>TARAPACÁ</v>
          </cell>
        </row>
        <row r="4">
          <cell r="BM4" t="str">
            <v>ANTOFAGASTA</v>
          </cell>
        </row>
        <row r="5">
          <cell r="BM5" t="str">
            <v>ATACAMA</v>
          </cell>
        </row>
        <row r="6">
          <cell r="BM6" t="str">
            <v>COQUIMBO</v>
          </cell>
        </row>
        <row r="7">
          <cell r="BM7" t="str">
            <v>VALPARAÍSO</v>
          </cell>
        </row>
        <row r="8">
          <cell r="BM8" t="str">
            <v>O'HIGGINS</v>
          </cell>
        </row>
        <row r="9">
          <cell r="BM9" t="str">
            <v>MAULE</v>
          </cell>
        </row>
        <row r="10">
          <cell r="BM10" t="str">
            <v>BÍO-BÍO</v>
          </cell>
        </row>
        <row r="11">
          <cell r="BM11" t="str">
            <v>ARAUCANÍA</v>
          </cell>
        </row>
        <row r="12">
          <cell r="BM12" t="str">
            <v>LOS RÍOS</v>
          </cell>
        </row>
        <row r="13">
          <cell r="BM13" t="str">
            <v>LOS LAGOS</v>
          </cell>
        </row>
        <row r="14">
          <cell r="BM14" t="str">
            <v>AYSÉN</v>
          </cell>
        </row>
        <row r="15">
          <cell r="BM15" t="str">
            <v>MAGALLANES</v>
          </cell>
        </row>
        <row r="16">
          <cell r="BM16" t="str">
            <v>METROPOLITANA</v>
          </cell>
        </row>
        <row r="17">
          <cell r="BM17" t="str">
            <v>NIVEL CENTRAL</v>
          </cell>
        </row>
      </sheetData>
      <sheetData sheetId="14">
        <row r="2">
          <cell r="W2" t="str">
            <v>MEDIA INCOMPLETA</v>
          </cell>
          <cell r="X2" t="str">
            <v>0 A 1 AÑO</v>
          </cell>
        </row>
        <row r="3">
          <cell r="W3" t="str">
            <v>MEDIA COMPLETA</v>
          </cell>
          <cell r="X3" t="str">
            <v>2 A 5 AÑOS</v>
          </cell>
        </row>
        <row r="4">
          <cell r="W4" t="str">
            <v>UNIVERSITARIA INCOMPLETA</v>
          </cell>
          <cell r="X4" t="str">
            <v>5 A 10 AÑOS</v>
          </cell>
        </row>
        <row r="5">
          <cell r="W5" t="str">
            <v>UNIVERSITARIA COMPLETA</v>
          </cell>
          <cell r="X5" t="str">
            <v>MÁS DE 10 AÑOS</v>
          </cell>
        </row>
        <row r="6">
          <cell r="W6" t="str">
            <v>POSTGRADO</v>
          </cell>
        </row>
        <row r="7">
          <cell r="W7" t="str">
            <v>OTRA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ADM"/>
      <sheetName val="PERS"/>
      <sheetName val="CEAD-BUD"/>
      <sheetName val="COM"/>
      <sheetName val="GEN"/>
      <sheetName val="DGT"/>
      <sheetName val="DSEG"/>
      <sheetName val="FNSP"/>
      <sheetName val="DPB"/>
      <sheetName val="CNAC"/>
      <sheetName val="PES"/>
      <sheetName val="24hrS"/>
      <sheetName val="PDI"/>
      <sheetName val="Compromisos Por Devengar"/>
      <sheetName val="Información SIGFE Compromiso"/>
      <sheetName val="Datos"/>
      <sheetName val="Informacion SIGFE Ejecucion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D2" t="str">
            <v>Código</v>
          </cell>
          <cell r="E2" t="str">
            <v>Programa</v>
          </cell>
          <cell r="F2" t="str">
            <v>CC</v>
          </cell>
          <cell r="H2" t="str">
            <v>Código</v>
          </cell>
          <cell r="I2" t="str">
            <v>Depto.</v>
          </cell>
        </row>
        <row r="3">
          <cell r="D3" t="str">
            <v>CentrosDeCosto - 01 Operación Insttitucional</v>
          </cell>
          <cell r="E3" t="str">
            <v>SPD</v>
          </cell>
          <cell r="F3" t="str">
            <v>OPER</v>
          </cell>
          <cell r="H3" t="str">
            <v>UnidadesDemandantes - 01 Departamento de Gestión de las Personas</v>
          </cell>
          <cell r="I3" t="str">
            <v>DPERS</v>
          </cell>
          <cell r="N3" t="str">
            <v>21</v>
          </cell>
          <cell r="O3" t="str">
            <v>21 Gastos en Personal</v>
          </cell>
        </row>
        <row r="4">
          <cell r="D4" t="str">
            <v>CentrosDeCosto - 02 Nivel Central</v>
          </cell>
          <cell r="E4" t="str">
            <v>CAVD</v>
          </cell>
          <cell r="F4" t="str">
            <v>CAVD</v>
          </cell>
          <cell r="H4" t="str">
            <v>UnidadesDemandantes - 01 Departamento de Finanzas</v>
          </cell>
          <cell r="I4" t="str">
            <v>DFIN</v>
          </cell>
          <cell r="N4" t="str">
            <v>22</v>
          </cell>
          <cell r="O4" t="str">
            <v>22 Bienes y Servicios de Consumo</v>
          </cell>
        </row>
        <row r="5">
          <cell r="D5" t="str">
            <v>CentrosDeCosto - 01 Coordinación Nacional</v>
          </cell>
          <cell r="E5" t="str">
            <v>SPD</v>
          </cell>
          <cell r="F5" t="str">
            <v>CNAC</v>
          </cell>
          <cell r="H5" t="str">
            <v>UnidadesDemandantes - 03 Centros de Atención a Víctimas</v>
          </cell>
          <cell r="I5" t="str">
            <v>CAVD</v>
          </cell>
          <cell r="N5" t="str">
            <v>24</v>
          </cell>
          <cell r="O5" t="str">
            <v>24 Transferencias Corrientes</v>
          </cell>
        </row>
        <row r="6">
          <cell r="D6" t="str">
            <v>CentrosDeCosto - 01 Plan Comunal de Seguridad Pública</v>
          </cell>
          <cell r="E6" t="str">
            <v>SPD</v>
          </cell>
          <cell r="F6" t="str">
            <v>PCSP</v>
          </cell>
          <cell r="H6" t="str">
            <v>UnidadesDemandantes - 05 Programa Estadio Seguro</v>
          </cell>
          <cell r="I6" t="str">
            <v>PES</v>
          </cell>
          <cell r="N6" t="str">
            <v>29</v>
          </cell>
          <cell r="O6" t="str">
            <v>29 Adq. de Activos No Financieros</v>
          </cell>
        </row>
        <row r="7">
          <cell r="D7" t="str">
            <v>CentrosDeCosto - 01 Barrios de Alta Complejidad</v>
          </cell>
          <cell r="E7" t="str">
            <v>SPD</v>
          </cell>
          <cell r="F7" t="str">
            <v>BAC</v>
          </cell>
          <cell r="H7" t="str">
            <v>UnidadesDemandantes - 02 Departamento de Gestión Territorial</v>
          </cell>
          <cell r="I7" t="str">
            <v>DGT</v>
          </cell>
          <cell r="N7" t="str">
            <v>34</v>
          </cell>
          <cell r="O7" t="str">
            <v>34 Servicio de la Deuda</v>
          </cell>
        </row>
        <row r="8">
          <cell r="D8" t="str">
            <v>CentrosDeCosto - 01 Programa 24 Horas - Vida Nueva</v>
          </cell>
          <cell r="E8" t="str">
            <v>SPD</v>
          </cell>
          <cell r="F8" t="str">
            <v>24 Hrs</v>
          </cell>
          <cell r="H8" t="str">
            <v>UnidadesDemandantes - 06 Departamento de Reinserción Social</v>
          </cell>
          <cell r="I8" t="str">
            <v>DRS</v>
          </cell>
          <cell r="N8" t="str">
            <v>35</v>
          </cell>
          <cell r="O8" t="str">
            <v>35 Saldo Final</v>
          </cell>
        </row>
        <row r="9">
          <cell r="D9" t="str">
            <v>CentrosDeCosto - 01 Programa Juntos Más Seguros</v>
          </cell>
          <cell r="E9" t="str">
            <v>SPD</v>
          </cell>
          <cell r="F9" t="str">
            <v>JMS</v>
          </cell>
          <cell r="H9" t="str">
            <v>UnidadesDemandantes - 07 Departamento de Comunicaciones</v>
          </cell>
          <cell r="I9" t="str">
            <v>DCOM</v>
          </cell>
        </row>
        <row r="10">
          <cell r="D10" t="str">
            <v>CentrosDeCosto - 01 Programa Cascos Históricos</v>
          </cell>
          <cell r="E10" t="str">
            <v>SPD</v>
          </cell>
          <cell r="F10" t="str">
            <v>CHBC</v>
          </cell>
          <cell r="H10" t="str">
            <v>UnidadesDemandantes - 03 Departamento de Coordinación Nacional</v>
          </cell>
          <cell r="I10" t="str">
            <v>CNAC</v>
          </cell>
        </row>
        <row r="11">
          <cell r="D11" t="str">
            <v>CentrosDeCosto - 01 Programa Estadio Seguro</v>
          </cell>
          <cell r="E11" t="str">
            <v>SPD</v>
          </cell>
          <cell r="F11" t="str">
            <v>PES</v>
          </cell>
          <cell r="H11" t="str">
            <v>UnidadesDemandantes - 02 Departamento de Prevención en Barrios</v>
          </cell>
          <cell r="I11" t="str">
            <v>DPB</v>
          </cell>
        </row>
        <row r="12">
          <cell r="D12" t="str">
            <v>CentrosDeCosto - 01 Denuncia Seguro</v>
          </cell>
          <cell r="E12" t="str">
            <v>SPD</v>
          </cell>
          <cell r="F12" t="str">
            <v>DSEG</v>
          </cell>
          <cell r="H12" t="str">
            <v>UnidadesDemandantes - 01 Departamento de Administración</v>
          </cell>
          <cell r="I12" t="str">
            <v>DADM</v>
          </cell>
        </row>
        <row r="13">
          <cell r="D13" t="str">
            <v>CentrosDeCosto - 02 CAVD Angol</v>
          </cell>
          <cell r="E13" t="str">
            <v>CAVD</v>
          </cell>
          <cell r="F13" t="str">
            <v>CAVD</v>
          </cell>
          <cell r="H13" t="str">
            <v>UnidadesDemandantes - 06 Departamento de Estadísticas</v>
          </cell>
          <cell r="I13" t="str">
            <v>DEST</v>
          </cell>
        </row>
        <row r="14">
          <cell r="D14" t="str">
            <v>CentrosDeCosto - 02 CAVD Antofagasta</v>
          </cell>
          <cell r="E14" t="str">
            <v>CAVD</v>
          </cell>
          <cell r="F14" t="str">
            <v>CAVD</v>
          </cell>
          <cell r="H14" t="str">
            <v>UnidadesDemandantes - 01 Departamento de Informática</v>
          </cell>
          <cell r="I14" t="str">
            <v>DINF</v>
          </cell>
        </row>
        <row r="15">
          <cell r="D15" t="str">
            <v>CentrosDeCosto - 02 CAVD Arica</v>
          </cell>
          <cell r="E15" t="str">
            <v>CAVD</v>
          </cell>
          <cell r="F15" t="str">
            <v>CAVD</v>
          </cell>
          <cell r="H15" t="str">
            <v>UnidadesDemandantes - 07 Gabinete Subsecretaría</v>
          </cell>
          <cell r="I15" t="str">
            <v>GAB</v>
          </cell>
        </row>
        <row r="16">
          <cell r="D16" t="str">
            <v>CentrosDeCosto - 02 CAVD Castro</v>
          </cell>
          <cell r="E16" t="str">
            <v>CAVD</v>
          </cell>
          <cell r="F16" t="str">
            <v>CAVD</v>
          </cell>
          <cell r="H16" t="str">
            <v>UnidadesDemandantes - 07 Departamento de Auditoría Interna</v>
          </cell>
          <cell r="I16" t="str">
            <v>DAUD</v>
          </cell>
        </row>
        <row r="17">
          <cell r="D17" t="str">
            <v>CentrosDeCosto - 02 CAVD Cauquenes</v>
          </cell>
          <cell r="E17" t="str">
            <v>CAVD</v>
          </cell>
          <cell r="F17" t="str">
            <v>CAVD</v>
          </cell>
        </row>
        <row r="18">
          <cell r="D18" t="str">
            <v>CentrosDeCosto - 02 CAVD Concepción</v>
          </cell>
          <cell r="E18" t="str">
            <v>CAVD</v>
          </cell>
          <cell r="F18" t="str">
            <v>CAVD</v>
          </cell>
        </row>
        <row r="19">
          <cell r="D19" t="str">
            <v>CentrosDeCosto - 02 CAVD Copiapó</v>
          </cell>
          <cell r="E19" t="str">
            <v>CAVD</v>
          </cell>
          <cell r="F19" t="str">
            <v>CAVD</v>
          </cell>
        </row>
        <row r="20">
          <cell r="D20" t="str">
            <v>CentrosDeCosto - 02 CAVD Coquimbo</v>
          </cell>
          <cell r="E20" t="str">
            <v>CAVD</v>
          </cell>
          <cell r="F20" t="str">
            <v>CAVD</v>
          </cell>
        </row>
        <row r="21">
          <cell r="D21" t="str">
            <v>CentrosDeCosto - 02 CAVD Coyhaique</v>
          </cell>
          <cell r="E21" t="str">
            <v>CAVD</v>
          </cell>
          <cell r="F21" t="str">
            <v>CAVD</v>
          </cell>
        </row>
        <row r="22">
          <cell r="D22" t="str">
            <v>CentrosDeCosto - 02 CAVD Curicó</v>
          </cell>
          <cell r="E22" t="str">
            <v>CAVD</v>
          </cell>
          <cell r="F22" t="str">
            <v>CAVD</v>
          </cell>
        </row>
        <row r="23">
          <cell r="D23" t="str">
            <v>CentrosDeCosto - 02 CAVD Iquique</v>
          </cell>
          <cell r="E23" t="str">
            <v>CAVD</v>
          </cell>
          <cell r="F23" t="str">
            <v>CAVD</v>
          </cell>
        </row>
        <row r="24">
          <cell r="D24" t="str">
            <v>CentrosDeCosto - 02 CAVD La Cisterna</v>
          </cell>
          <cell r="E24" t="str">
            <v>CAVD</v>
          </cell>
          <cell r="F24" t="str">
            <v>CAVD</v>
          </cell>
        </row>
        <row r="25">
          <cell r="D25" t="str">
            <v>CentrosDeCosto - 02 CAVD La Florida</v>
          </cell>
          <cell r="E25" t="str">
            <v>CAVD</v>
          </cell>
          <cell r="F25" t="str">
            <v>CAVD</v>
          </cell>
        </row>
        <row r="26">
          <cell r="D26" t="str">
            <v>CentrosDeCosto - 02 CAVD La Serena</v>
          </cell>
          <cell r="E26" t="str">
            <v>CAVD</v>
          </cell>
          <cell r="F26" t="str">
            <v>CAVD</v>
          </cell>
        </row>
        <row r="27">
          <cell r="D27" t="str">
            <v>CentrosDeCosto - 02 CAVD Lampa</v>
          </cell>
          <cell r="E27" t="str">
            <v>CAVD</v>
          </cell>
          <cell r="F27" t="str">
            <v>CAVD</v>
          </cell>
        </row>
        <row r="28">
          <cell r="D28" t="str">
            <v>CentrosDeCosto - 02 CAVD Linares</v>
          </cell>
          <cell r="E28" t="str">
            <v>CAVD</v>
          </cell>
          <cell r="F28" t="str">
            <v>CAVD</v>
          </cell>
        </row>
        <row r="29">
          <cell r="D29" t="str">
            <v>CentrosDeCosto - 02 CAVD Maipú</v>
          </cell>
          <cell r="E29" t="str">
            <v>CAVD</v>
          </cell>
          <cell r="F29" t="str">
            <v>CAVD</v>
          </cell>
        </row>
        <row r="30">
          <cell r="D30" t="str">
            <v>CentrosDeCosto - 02 CAVD Melipilla</v>
          </cell>
          <cell r="E30" t="str">
            <v>CAVD</v>
          </cell>
          <cell r="F30" t="str">
            <v>CAVD</v>
          </cell>
        </row>
        <row r="31">
          <cell r="D31" t="str">
            <v>CentrosDeCosto - 02 CAVD Osorno</v>
          </cell>
          <cell r="E31" t="str">
            <v>CAVD</v>
          </cell>
          <cell r="F31" t="str">
            <v>CAVD</v>
          </cell>
        </row>
        <row r="32">
          <cell r="D32" t="str">
            <v>CentrosDeCosto - 02 CAVD Ovalle</v>
          </cell>
          <cell r="E32" t="str">
            <v>CAVD</v>
          </cell>
          <cell r="F32" t="str">
            <v>CAVD</v>
          </cell>
        </row>
        <row r="33">
          <cell r="D33" t="str">
            <v>CentrosDeCosto - 02 Oficina de Enlace Padre Hurtado</v>
          </cell>
          <cell r="E33" t="str">
            <v>CAVD</v>
          </cell>
          <cell r="F33" t="str">
            <v>CAVD</v>
          </cell>
        </row>
        <row r="34">
          <cell r="D34" t="str">
            <v>CentrosDeCosto - 02 Oficina Enlace Los Angeles</v>
          </cell>
          <cell r="E34" t="str">
            <v>CAVD</v>
          </cell>
          <cell r="F34" t="str">
            <v>CAVD</v>
          </cell>
        </row>
        <row r="35">
          <cell r="D35" t="str">
            <v>CentrosDeCosto - 02 CAVD Valparaíso</v>
          </cell>
          <cell r="E35" t="str">
            <v>CAVD</v>
          </cell>
          <cell r="F35" t="str">
            <v>CAVD</v>
          </cell>
        </row>
        <row r="36">
          <cell r="D36" t="str">
            <v>CentrosDeCosto - 02 Oficina de Enlaces Las Condes</v>
          </cell>
          <cell r="E36" t="str">
            <v>CAVD</v>
          </cell>
          <cell r="F36" t="str">
            <v>CAVD</v>
          </cell>
        </row>
        <row r="37">
          <cell r="D37" t="str">
            <v>CentrosDeCosto - 02 CAVD Providencia</v>
          </cell>
          <cell r="E37" t="str">
            <v>CAVD</v>
          </cell>
          <cell r="F37" t="str">
            <v>CAVD</v>
          </cell>
        </row>
        <row r="38">
          <cell r="D38" t="str">
            <v>CentrosDeCosto - 02 Oficina Enlace La Unión</v>
          </cell>
          <cell r="E38" t="str">
            <v>CAVD</v>
          </cell>
          <cell r="F38" t="str">
            <v>CAVD</v>
          </cell>
        </row>
        <row r="39">
          <cell r="D39" t="str">
            <v>CentrosDeCosto - 02 CAVD Colina</v>
          </cell>
          <cell r="E39" t="str">
            <v>CAVD</v>
          </cell>
          <cell r="F39" t="str">
            <v>CAVD</v>
          </cell>
        </row>
        <row r="40">
          <cell r="D40" t="str">
            <v>CentrosDeCosto - 02 Oficina Enlace Chillán</v>
          </cell>
          <cell r="E40" t="str">
            <v>CAVD</v>
          </cell>
          <cell r="F40" t="str">
            <v>CAVD</v>
          </cell>
        </row>
        <row r="41">
          <cell r="D41" t="str">
            <v>CentrosDeCosto - 02 Oficina Enlace Alto Hospicio</v>
          </cell>
          <cell r="E41" t="str">
            <v>CAVD</v>
          </cell>
          <cell r="F41" t="str">
            <v>CAVD</v>
          </cell>
        </row>
        <row r="42">
          <cell r="D42" t="str">
            <v>CentrosDeCosto - 02 CAVD Pudahuel</v>
          </cell>
          <cell r="E42" t="str">
            <v>CAVD</v>
          </cell>
          <cell r="F42" t="str">
            <v>CAVD</v>
          </cell>
        </row>
        <row r="43">
          <cell r="D43" t="str">
            <v>CentrosDeCosto - 02 CAVD Valdivia</v>
          </cell>
          <cell r="E43" t="str">
            <v>CAVD</v>
          </cell>
          <cell r="F43" t="str">
            <v>CAVD</v>
          </cell>
        </row>
        <row r="44">
          <cell r="D44" t="str">
            <v>CentrosDeCosto - 02 CAVD Puente Alto</v>
          </cell>
          <cell r="E44" t="str">
            <v>CAVD</v>
          </cell>
          <cell r="F44" t="str">
            <v>CAVD</v>
          </cell>
        </row>
        <row r="45">
          <cell r="D45" t="str">
            <v>CentrosDeCosto - 02 CAVD Temuco</v>
          </cell>
          <cell r="E45" t="str">
            <v>CAVD</v>
          </cell>
          <cell r="F45" t="str">
            <v>CAVD</v>
          </cell>
        </row>
        <row r="46">
          <cell r="D46" t="str">
            <v>CentrosDeCosto - 02 CAVD Puerto Montt</v>
          </cell>
          <cell r="E46" t="str">
            <v>CAVD</v>
          </cell>
          <cell r="F46" t="str">
            <v>CAVD</v>
          </cell>
        </row>
        <row r="47">
          <cell r="D47" t="str">
            <v>CentrosDeCosto - 02 CAVD Punta Arenas</v>
          </cell>
          <cell r="E47" t="str">
            <v>CAVD</v>
          </cell>
          <cell r="F47" t="str">
            <v>CAVD</v>
          </cell>
        </row>
        <row r="48">
          <cell r="D48" t="str">
            <v>CentrosDeCosto - 02 CAVD Rancagua</v>
          </cell>
          <cell r="E48" t="str">
            <v>CAVD</v>
          </cell>
          <cell r="F48" t="str">
            <v>CAVD</v>
          </cell>
        </row>
        <row r="49">
          <cell r="D49" t="str">
            <v>CentrosDeCosto - 02 CAVD Recoleta</v>
          </cell>
          <cell r="E49" t="str">
            <v>CAVD</v>
          </cell>
          <cell r="F49" t="str">
            <v>CAVD</v>
          </cell>
        </row>
        <row r="50">
          <cell r="D50" t="str">
            <v>CentrosDeCosto - 02 CAVD San Bernardo</v>
          </cell>
          <cell r="E50" t="str">
            <v>CAVD</v>
          </cell>
          <cell r="F50" t="str">
            <v>CAVD</v>
          </cell>
        </row>
        <row r="51">
          <cell r="D51" t="str">
            <v>CentrosDeCosto - 02 CAVD San Fernando</v>
          </cell>
          <cell r="E51" t="str">
            <v>CAVD</v>
          </cell>
          <cell r="F51" t="str">
            <v>CAVD</v>
          </cell>
        </row>
        <row r="52">
          <cell r="D52" t="str">
            <v>CentrosDeCosto - 02 CAVD San Felipe</v>
          </cell>
          <cell r="E52" t="str">
            <v>CAVD</v>
          </cell>
          <cell r="F52" t="str">
            <v>CAVD</v>
          </cell>
        </row>
        <row r="53">
          <cell r="D53" t="str">
            <v>CentrosDeCosto - 02 CAVD Talca</v>
          </cell>
          <cell r="E53" t="str">
            <v>CAVD</v>
          </cell>
          <cell r="F53" t="str">
            <v>CAVD</v>
          </cell>
        </row>
        <row r="54">
          <cell r="D54" t="str">
            <v>CentrosDeCosto - 02 CAVD Santiago</v>
          </cell>
          <cell r="E54" t="str">
            <v>CAVD</v>
          </cell>
          <cell r="F54" t="str">
            <v>CAVD</v>
          </cell>
        </row>
        <row r="55">
          <cell r="D55" t="str">
            <v>CentrosDeCosto - 02 Oficina Enlace San Antonio</v>
          </cell>
          <cell r="E55" t="str">
            <v>CAVD</v>
          </cell>
          <cell r="F55" t="str">
            <v>CAVD</v>
          </cell>
        </row>
        <row r="56">
          <cell r="D56" t="str">
            <v>CentrosDeCosto - 01 Fondo Nacional de Seguridad Pública</v>
          </cell>
          <cell r="E56" t="str">
            <v>SPD</v>
          </cell>
          <cell r="F56" t="str">
            <v>FNSP</v>
          </cell>
        </row>
        <row r="57">
          <cell r="D57" t="str">
            <v>CentrosDeCosto - 01 Red de Telecentros</v>
          </cell>
          <cell r="E57" t="str">
            <v>SPD</v>
          </cell>
          <cell r="F57" t="str">
            <v>TELEC</v>
          </cell>
        </row>
        <row r="58">
          <cell r="D58" t="str">
            <v>CentrosDeCosto - 02 CAVD Huechuraba</v>
          </cell>
          <cell r="E58" t="str">
            <v>CAVD</v>
          </cell>
          <cell r="F58" t="str">
            <v>CAVD</v>
          </cell>
        </row>
        <row r="59">
          <cell r="D59" t="str">
            <v>CentrosDeCosto - 01 Banco Unificado de Datos</v>
          </cell>
          <cell r="E59" t="str">
            <v>SPD</v>
          </cell>
          <cell r="F59" t="str">
            <v>BUD</v>
          </cell>
        </row>
        <row r="60">
          <cell r="D60" t="str">
            <v>CentrosDeCosto - 02 Oficina Enlace Ancud</v>
          </cell>
          <cell r="E60" t="str">
            <v>CAVD</v>
          </cell>
          <cell r="F60" t="str">
            <v>CAVD</v>
          </cell>
        </row>
        <row r="61">
          <cell r="D61" t="str">
            <v>CentrosDeCosto - 02 Oficina Enlace Quellón</v>
          </cell>
          <cell r="E61" t="str">
            <v>CAVD</v>
          </cell>
          <cell r="F61" t="str">
            <v>CAVD</v>
          </cell>
        </row>
        <row r="62">
          <cell r="D62" t="str">
            <v>CentrosDeCosto - 02 Oficina Enlace Aysén</v>
          </cell>
          <cell r="E62" t="str">
            <v>CAVD</v>
          </cell>
          <cell r="F62" t="str">
            <v>CAVD</v>
          </cell>
        </row>
        <row r="63">
          <cell r="D63" t="str">
            <v>CentrosDeCosto - 02 Oficina Enlace Collipulli</v>
          </cell>
          <cell r="E63" t="str">
            <v>CAVD</v>
          </cell>
          <cell r="F63" t="str">
            <v>CAVD</v>
          </cell>
        </row>
        <row r="64">
          <cell r="D64" t="str">
            <v>CentrosDeCosto - 02 Oficina de Enlace Peñalolen</v>
          </cell>
          <cell r="E64" t="str">
            <v>CAVD</v>
          </cell>
          <cell r="F64" t="str">
            <v>CAVD</v>
          </cell>
        </row>
        <row r="65">
          <cell r="D65" t="str">
            <v>CentrosDeCosto - 01 CEAD</v>
          </cell>
          <cell r="E65" t="str">
            <v>SPD</v>
          </cell>
          <cell r="F65" t="str">
            <v>CEAD</v>
          </cell>
        </row>
        <row r="66">
          <cell r="D66" t="str">
            <v>CentrosDeCosto - 01 Otros Programas en Prev. Seguridad Ciudadana</v>
          </cell>
          <cell r="E66" t="str">
            <v>SPD</v>
          </cell>
          <cell r="F66" t="str">
            <v>OTROS INIC</v>
          </cell>
        </row>
        <row r="67">
          <cell r="D67" t="str">
            <v>CentrosDeCosto - 01 ENUSC - INE</v>
          </cell>
          <cell r="E67" t="str">
            <v>SPD</v>
          </cell>
          <cell r="F67" t="str">
            <v>ENUSC</v>
          </cell>
        </row>
      </sheetData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Compromisos"/>
      <sheetName val="Transacciones"/>
      <sheetName val="Dinámica Proyectos"/>
      <sheetName val="Total Proyectos 2020"/>
      <sheetName val="Por Transferir"/>
      <sheetName val="Resumen Proyectos 2020"/>
    </sheetNames>
    <sheetDataSet>
      <sheetData sheetId="0">
        <row r="3">
          <cell r="B3" t="str">
            <v>CentrosDeCosto - 01 Programa Cascos Históricos</v>
          </cell>
          <cell r="C3" t="str">
            <v>SPD</v>
          </cell>
          <cell r="D3" t="str">
            <v>CHBC</v>
          </cell>
          <cell r="F3" t="str">
            <v>UnidadesDemandantes - 02 Departamento de Gestión Territorial</v>
          </cell>
          <cell r="G3" t="str">
            <v>DGT</v>
          </cell>
        </row>
        <row r="4">
          <cell r="B4" t="str">
            <v xml:space="preserve">CentrosDeCosto - 01 Proyectos de Prevención en </v>
          </cell>
          <cell r="C4" t="str">
            <v>SPD</v>
          </cell>
          <cell r="D4" t="str">
            <v>ARAU</v>
          </cell>
          <cell r="F4" t="str">
            <v>UnidadesDemandantes - 06 Departamento de Reinserción Social</v>
          </cell>
          <cell r="G4" t="str">
            <v>DRS</v>
          </cell>
        </row>
        <row r="5">
          <cell r="B5" t="str">
            <v>CentrosDeCosto - 01 Iniciativa de Tecnología e Innovación</v>
          </cell>
          <cell r="C5" t="str">
            <v>SPD</v>
          </cell>
          <cell r="D5" t="str">
            <v>ITI</v>
          </cell>
          <cell r="F5" t="str">
            <v>UnidadesDemandantes - 06 Departamento de Estudios</v>
          </cell>
          <cell r="G5" t="str">
            <v>DRS</v>
          </cell>
        </row>
        <row r="6">
          <cell r="B6" t="str">
            <v>CentrosDeCosto - 01 Fondo Nacional de Seguridad Pública</v>
          </cell>
          <cell r="C6" t="str">
            <v>SPD</v>
          </cell>
          <cell r="D6" t="str">
            <v>FNSP</v>
          </cell>
        </row>
        <row r="7">
          <cell r="B7" t="str">
            <v>CentrosDeCosto - 01 Programa Lazos</v>
          </cell>
          <cell r="C7" t="str">
            <v>SPD</v>
          </cell>
          <cell r="D7" t="str">
            <v>LAZ</v>
          </cell>
        </row>
        <row r="8">
          <cell r="B8" t="str">
            <v>CentrosDeCosto - 01 Programa Barrios Prioritarios</v>
          </cell>
          <cell r="C8" t="str">
            <v>SPD</v>
          </cell>
          <cell r="D8" t="str">
            <v>BPRI</v>
          </cell>
        </row>
        <row r="9">
          <cell r="B9" t="str">
            <v>CentrosDeCosto - 01 Proyectos de Prevención en Zona Rural</v>
          </cell>
          <cell r="C9" t="str">
            <v>SPD</v>
          </cell>
          <cell r="D9" t="str">
            <v>VR</v>
          </cell>
        </row>
        <row r="10">
          <cell r="B10" t="str">
            <v>CentrosDeCosto - 01 Barrio Comercial Protegido</v>
          </cell>
          <cell r="C10" t="str">
            <v>SPD</v>
          </cell>
          <cell r="D10" t="str">
            <v>BCP</v>
          </cell>
        </row>
        <row r="11">
          <cell r="B11" t="str">
            <v>CentrosDeCosto - 01 Red Nacional de Seguridad Pública</v>
          </cell>
          <cell r="C11" t="str">
            <v>SPD</v>
          </cell>
          <cell r="D11" t="str">
            <v>RNSP</v>
          </cell>
        </row>
        <row r="12">
          <cell r="B12" t="str">
            <v>CentrosDeCosto - 01 ENUSC - INE</v>
          </cell>
          <cell r="C12" t="str">
            <v>SPD</v>
          </cell>
          <cell r="D12" t="str">
            <v>ENUSC</v>
          </cell>
        </row>
        <row r="13">
          <cell r="B13" t="str">
            <v>CentrosDeCosto - 01 Programa Seguridad en Mi Barrio</v>
          </cell>
          <cell r="C13" t="str">
            <v>SPD</v>
          </cell>
          <cell r="D13" t="str">
            <v>PSMB</v>
          </cell>
        </row>
        <row r="14">
          <cell r="B14" t="str">
            <v>CentrosDeCosto - 01 Plan Calle Segura</v>
          </cell>
          <cell r="C14" t="str">
            <v>SPD</v>
          </cell>
          <cell r="D14" t="str">
            <v xml:space="preserve">PCS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"/>
      <sheetName val="Pagos"/>
      <sheetName val="Hoja1"/>
      <sheetName val="TD"/>
    </sheetNames>
    <sheetDataSet>
      <sheetData sheetId="0" refreshError="1"/>
      <sheetData sheetId="1" refreshError="1"/>
      <sheetData sheetId="2">
        <row r="3">
          <cell r="B3" t="str">
            <v>01-21-03-001-001</v>
          </cell>
        </row>
        <row r="4">
          <cell r="B4" t="str">
            <v>01-24-03-015-001</v>
          </cell>
        </row>
        <row r="5">
          <cell r="B5" t="str">
            <v>01-24-03-015-002</v>
          </cell>
        </row>
        <row r="6">
          <cell r="B6" t="str">
            <v>01-24-03-015-003</v>
          </cell>
        </row>
        <row r="7">
          <cell r="B7" t="str">
            <v>01-24-03-015-004</v>
          </cell>
        </row>
        <row r="8">
          <cell r="B8" t="str">
            <v>01-24-03-015-005</v>
          </cell>
        </row>
        <row r="9">
          <cell r="B9" t="str">
            <v>01-24-03-018-000</v>
          </cell>
        </row>
        <row r="10">
          <cell r="B10" t="str">
            <v>01-24-03-041-000</v>
          </cell>
        </row>
        <row r="11">
          <cell r="B11" t="str">
            <v>01-24-03-107-001</v>
          </cell>
        </row>
        <row r="12">
          <cell r="B12" t="str">
            <v>01-24-03-107-002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MODIFICACIONES"/>
      <sheetName val="DETALLE CDP"/>
      <sheetName val="DATOS"/>
      <sheetName val="Hoja1"/>
    </sheetNames>
    <sheetDataSet>
      <sheetData sheetId="0"/>
      <sheetData sheetId="1"/>
      <sheetData sheetId="2"/>
      <sheetData sheetId="3">
        <row r="2">
          <cell r="U2" t="str">
            <v>Honorarios a Suma Alzada</v>
          </cell>
        </row>
        <row r="3">
          <cell r="U3" t="str">
            <v>Viáticos</v>
          </cell>
        </row>
        <row r="4">
          <cell r="U4" t="str">
            <v>Bienes y Servicios de Consumo</v>
          </cell>
        </row>
        <row r="5">
          <cell r="U5" t="str">
            <v>Transferencias Corrientes</v>
          </cell>
        </row>
        <row r="6">
          <cell r="U6" t="str">
            <v>Transferencias Corrientes Directas</v>
          </cell>
        </row>
        <row r="7">
          <cell r="U7" t="str">
            <v>Adquisición de Activos No Financieros</v>
          </cell>
        </row>
        <row r="8">
          <cell r="U8" t="str">
            <v>No Aplica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workbookViewId="0">
      <selection activeCell="D9" sqref="D9"/>
    </sheetView>
  </sheetViews>
  <sheetFormatPr baseColWidth="10" defaultRowHeight="15" x14ac:dyDescent="0.25"/>
  <cols>
    <col min="1" max="1" width="17" customWidth="1"/>
    <col min="2" max="2" width="25" customWidth="1"/>
    <col min="3" max="3" width="68.28515625" bestFit="1" customWidth="1"/>
    <col min="4" max="4" width="17.7109375" style="110" customWidth="1"/>
  </cols>
  <sheetData>
    <row r="1" spans="1:8" x14ac:dyDescent="0.25">
      <c r="A1" s="114" t="s">
        <v>238</v>
      </c>
      <c r="B1" s="114" t="s">
        <v>424</v>
      </c>
      <c r="C1" s="114" t="s">
        <v>423</v>
      </c>
      <c r="D1" s="113" t="s">
        <v>422</v>
      </c>
      <c r="E1" s="141" t="s">
        <v>421</v>
      </c>
      <c r="F1" s="141"/>
    </row>
    <row r="2" spans="1:8" x14ac:dyDescent="0.25">
      <c r="A2" s="139" t="s">
        <v>420</v>
      </c>
      <c r="B2" s="139"/>
      <c r="C2" s="139"/>
      <c r="D2" s="142">
        <v>120000000</v>
      </c>
      <c r="E2" s="142"/>
      <c r="F2" s="142"/>
    </row>
    <row r="3" spans="1:8" x14ac:dyDescent="0.25">
      <c r="A3" t="s">
        <v>202</v>
      </c>
      <c r="B3" t="s">
        <v>65</v>
      </c>
      <c r="C3" t="s">
        <v>209</v>
      </c>
      <c r="D3" s="111" t="s">
        <v>419</v>
      </c>
      <c r="E3" s="144" t="s">
        <v>418</v>
      </c>
      <c r="F3" s="144"/>
    </row>
    <row r="4" spans="1:8" ht="30.6" customHeight="1" x14ac:dyDescent="0.25">
      <c r="A4" s="2" t="s">
        <v>202</v>
      </c>
      <c r="B4" s="2" t="s">
        <v>65</v>
      </c>
      <c r="C4" s="2" t="s">
        <v>204</v>
      </c>
      <c r="D4" s="112" t="s">
        <v>417</v>
      </c>
      <c r="E4" s="140" t="s">
        <v>416</v>
      </c>
      <c r="F4" s="140"/>
    </row>
    <row r="5" spans="1:8" ht="27" customHeight="1" x14ac:dyDescent="0.25">
      <c r="A5" s="2" t="s">
        <v>202</v>
      </c>
      <c r="B5" s="2" t="s">
        <v>65</v>
      </c>
      <c r="C5" s="2" t="s">
        <v>203</v>
      </c>
      <c r="D5" s="112" t="s">
        <v>417</v>
      </c>
      <c r="E5" s="140" t="s">
        <v>416</v>
      </c>
      <c r="F5" s="140"/>
    </row>
    <row r="6" spans="1:8" x14ac:dyDescent="0.25">
      <c r="A6" s="139" t="s">
        <v>93</v>
      </c>
      <c r="B6" s="139"/>
      <c r="C6" s="139"/>
      <c r="D6" s="142">
        <v>125000000</v>
      </c>
      <c r="E6" s="142"/>
      <c r="F6" s="142"/>
    </row>
    <row r="7" spans="1:8" ht="45.95" customHeight="1" x14ac:dyDescent="0.25">
      <c r="A7" s="2" t="s">
        <v>93</v>
      </c>
      <c r="B7" s="2" t="s">
        <v>65</v>
      </c>
      <c r="C7" s="2" t="s">
        <v>97</v>
      </c>
      <c r="D7" s="115" t="s">
        <v>415</v>
      </c>
      <c r="E7" s="140" t="s">
        <v>414</v>
      </c>
      <c r="F7" s="140"/>
      <c r="G7" s="2" t="s">
        <v>425</v>
      </c>
    </row>
    <row r="8" spans="1:8" x14ac:dyDescent="0.25">
      <c r="A8" s="139" t="s">
        <v>179</v>
      </c>
      <c r="B8" s="139"/>
      <c r="C8" s="139"/>
      <c r="D8" s="143">
        <v>44496898</v>
      </c>
      <c r="E8" s="143"/>
      <c r="F8" s="143"/>
    </row>
    <row r="9" spans="1:8" ht="57" customHeight="1" x14ac:dyDescent="0.25">
      <c r="A9" s="2" t="s">
        <v>179</v>
      </c>
      <c r="B9" s="2" t="s">
        <v>65</v>
      </c>
      <c r="C9" s="2" t="s">
        <v>178</v>
      </c>
      <c r="D9" s="112" t="s">
        <v>413</v>
      </c>
      <c r="E9" s="140" t="s">
        <v>412</v>
      </c>
      <c r="F9" s="140"/>
    </row>
    <row r="10" spans="1:8" x14ac:dyDescent="0.25">
      <c r="A10" s="139" t="s">
        <v>111</v>
      </c>
      <c r="B10" s="139"/>
      <c r="C10" s="139"/>
      <c r="D10" s="142">
        <v>682992000</v>
      </c>
      <c r="E10" s="142"/>
      <c r="F10" s="142"/>
    </row>
    <row r="11" spans="1:8" x14ac:dyDescent="0.25">
      <c r="A11" t="s">
        <v>111</v>
      </c>
      <c r="B11" t="s">
        <v>65</v>
      </c>
      <c r="C11" t="s">
        <v>153</v>
      </c>
      <c r="D11" s="111" t="s">
        <v>410</v>
      </c>
      <c r="E11" s="144" t="s">
        <v>405</v>
      </c>
      <c r="F11" s="144"/>
    </row>
    <row r="12" spans="1:8" x14ac:dyDescent="0.25">
      <c r="A12" t="s">
        <v>111</v>
      </c>
      <c r="B12" t="s">
        <v>65</v>
      </c>
      <c r="C12" t="s">
        <v>152</v>
      </c>
      <c r="D12" s="111" t="s">
        <v>411</v>
      </c>
      <c r="E12" s="144" t="s">
        <v>405</v>
      </c>
      <c r="F12" s="144"/>
    </row>
    <row r="13" spans="1:8" ht="60" customHeight="1" x14ac:dyDescent="0.25">
      <c r="A13" s="2" t="s">
        <v>111</v>
      </c>
      <c r="B13" s="2" t="s">
        <v>65</v>
      </c>
      <c r="C13" s="2" t="s">
        <v>149</v>
      </c>
      <c r="D13" s="112" t="s">
        <v>410</v>
      </c>
      <c r="E13" s="140" t="s">
        <v>409</v>
      </c>
      <c r="F13" s="140"/>
      <c r="H13">
        <v>81</v>
      </c>
    </row>
    <row r="14" spans="1:8" ht="26.45" customHeight="1" x14ac:dyDescent="0.25">
      <c r="A14" s="2" t="s">
        <v>111</v>
      </c>
      <c r="B14" s="2" t="s">
        <v>65</v>
      </c>
      <c r="C14" s="2" t="s">
        <v>148</v>
      </c>
      <c r="D14" s="111" t="s">
        <v>408</v>
      </c>
      <c r="E14" s="140" t="s">
        <v>407</v>
      </c>
      <c r="F14" s="140"/>
      <c r="H14">
        <v>4</v>
      </c>
    </row>
    <row r="15" spans="1:8" x14ac:dyDescent="0.25">
      <c r="A15" t="s">
        <v>111</v>
      </c>
      <c r="B15" t="s">
        <v>65</v>
      </c>
      <c r="C15" t="s">
        <v>145</v>
      </c>
      <c r="D15" s="111" t="s">
        <v>406</v>
      </c>
      <c r="E15" s="144" t="s">
        <v>405</v>
      </c>
      <c r="F15" s="144"/>
      <c r="H15">
        <f>+H13*H14</f>
        <v>324</v>
      </c>
    </row>
    <row r="16" spans="1:8" ht="42.95" customHeight="1" x14ac:dyDescent="0.25">
      <c r="A16" s="2" t="s">
        <v>111</v>
      </c>
      <c r="B16" s="2" t="s">
        <v>65</v>
      </c>
      <c r="C16" s="2" t="s">
        <v>141</v>
      </c>
      <c r="D16" s="115" t="s">
        <v>404</v>
      </c>
      <c r="E16" s="140" t="s">
        <v>403</v>
      </c>
      <c r="F16" s="140"/>
    </row>
    <row r="17" spans="1:6" ht="41.1" customHeight="1" x14ac:dyDescent="0.25">
      <c r="A17" s="2" t="s">
        <v>111</v>
      </c>
      <c r="B17" s="2" t="s">
        <v>65</v>
      </c>
      <c r="C17" s="2" t="s">
        <v>138</v>
      </c>
      <c r="D17" s="115" t="s">
        <v>404</v>
      </c>
      <c r="E17" s="140" t="s">
        <v>403</v>
      </c>
      <c r="F17" s="140"/>
    </row>
    <row r="18" spans="1:6" ht="42" customHeight="1" x14ac:dyDescent="0.25">
      <c r="A18" s="2" t="s">
        <v>111</v>
      </c>
      <c r="B18" s="2" t="s">
        <v>65</v>
      </c>
      <c r="C18" s="2" t="s">
        <v>134</v>
      </c>
      <c r="D18" s="115" t="s">
        <v>404</v>
      </c>
      <c r="E18" s="140" t="s">
        <v>403</v>
      </c>
      <c r="F18" s="140"/>
    </row>
    <row r="19" spans="1:6" ht="42.6" customHeight="1" x14ac:dyDescent="0.25">
      <c r="A19" s="2" t="s">
        <v>111</v>
      </c>
      <c r="B19" s="2" t="s">
        <v>65</v>
      </c>
      <c r="C19" s="2" t="s">
        <v>127</v>
      </c>
      <c r="D19" s="115" t="s">
        <v>404</v>
      </c>
      <c r="E19" s="140" t="s">
        <v>403</v>
      </c>
      <c r="F19" s="140"/>
    </row>
    <row r="20" spans="1:6" ht="40.5" customHeight="1" x14ac:dyDescent="0.25">
      <c r="A20" s="2" t="s">
        <v>111</v>
      </c>
      <c r="B20" s="2" t="s">
        <v>65</v>
      </c>
      <c r="C20" s="2" t="s">
        <v>123</v>
      </c>
      <c r="D20" s="112" t="s">
        <v>404</v>
      </c>
      <c r="E20" s="140" t="s">
        <v>403</v>
      </c>
      <c r="F20" s="140"/>
    </row>
    <row r="21" spans="1:6" ht="44.1" customHeight="1" x14ac:dyDescent="0.25">
      <c r="A21" s="2" t="s">
        <v>111</v>
      </c>
      <c r="B21" s="2" t="s">
        <v>65</v>
      </c>
      <c r="C21" s="2" t="s">
        <v>122</v>
      </c>
      <c r="D21" s="112" t="s">
        <v>404</v>
      </c>
      <c r="E21" s="140" t="s">
        <v>403</v>
      </c>
      <c r="F21" s="140"/>
    </row>
    <row r="22" spans="1:6" ht="44.1" customHeight="1" x14ac:dyDescent="0.25">
      <c r="A22" s="2" t="s">
        <v>111</v>
      </c>
      <c r="B22" s="2" t="s">
        <v>65</v>
      </c>
      <c r="C22" s="2" t="s">
        <v>121</v>
      </c>
      <c r="D22" s="112" t="s">
        <v>404</v>
      </c>
      <c r="E22" s="140" t="s">
        <v>403</v>
      </c>
      <c r="F22" s="140"/>
    </row>
    <row r="23" spans="1:6" ht="44.1" customHeight="1" x14ac:dyDescent="0.25">
      <c r="A23" s="2" t="s">
        <v>111</v>
      </c>
      <c r="B23" s="2" t="s">
        <v>65</v>
      </c>
      <c r="C23" s="2" t="s">
        <v>120</v>
      </c>
      <c r="D23" s="112" t="s">
        <v>404</v>
      </c>
      <c r="E23" s="140" t="s">
        <v>403</v>
      </c>
      <c r="F23" s="140"/>
    </row>
  </sheetData>
  <mergeCells count="27">
    <mergeCell ref="E11:F11"/>
    <mergeCell ref="E12:F12"/>
    <mergeCell ref="E13:F13"/>
    <mergeCell ref="E14:F14"/>
    <mergeCell ref="E15:F15"/>
    <mergeCell ref="E21:F21"/>
    <mergeCell ref="E22:F22"/>
    <mergeCell ref="E23:F23"/>
    <mergeCell ref="E1:F1"/>
    <mergeCell ref="D2:F2"/>
    <mergeCell ref="D6:F6"/>
    <mergeCell ref="D8:F8"/>
    <mergeCell ref="D10:F10"/>
    <mergeCell ref="E3:F3"/>
    <mergeCell ref="E4:F4"/>
    <mergeCell ref="E5:F5"/>
    <mergeCell ref="E16:F16"/>
    <mergeCell ref="E17:F17"/>
    <mergeCell ref="E18:F18"/>
    <mergeCell ref="E19:F19"/>
    <mergeCell ref="E20:F20"/>
    <mergeCell ref="A2:C2"/>
    <mergeCell ref="A6:C6"/>
    <mergeCell ref="A8:C8"/>
    <mergeCell ref="A10:C10"/>
    <mergeCell ref="E7:F7"/>
    <mergeCell ref="E9:F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D9DA-2812-4AEF-8861-69A9812008B7}">
  <dimension ref="B3:K8"/>
  <sheetViews>
    <sheetView workbookViewId="0">
      <selection activeCell="B3" sqref="B3:J8"/>
    </sheetView>
  </sheetViews>
  <sheetFormatPr baseColWidth="10" defaultRowHeight="15" x14ac:dyDescent="0.25"/>
  <cols>
    <col min="2" max="2" width="32.140625" bestFit="1" customWidth="1"/>
    <col min="3" max="3" width="19.42578125" bestFit="1" customWidth="1"/>
    <col min="4" max="4" width="21.85546875" bestFit="1" customWidth="1"/>
  </cols>
  <sheetData>
    <row r="3" spans="2:11" x14ac:dyDescent="0.25">
      <c r="C3" s="44" t="str">
        <f>+Hoja1!C2</f>
        <v>presupuesto vigente</v>
      </c>
      <c r="D3" s="44" t="s">
        <v>434</v>
      </c>
      <c r="E3" s="119" t="s">
        <v>435</v>
      </c>
      <c r="F3" s="119" t="s">
        <v>436</v>
      </c>
      <c r="G3" s="119" t="s">
        <v>437</v>
      </c>
      <c r="H3" s="119" t="s">
        <v>438</v>
      </c>
      <c r="I3" s="119" t="s">
        <v>439</v>
      </c>
      <c r="J3" s="119" t="s">
        <v>440</v>
      </c>
    </row>
    <row r="4" spans="2:11" x14ac:dyDescent="0.25">
      <c r="B4" s="50" t="s">
        <v>13</v>
      </c>
      <c r="C4" s="50">
        <f>C5+C6+C8+C7</f>
        <v>1892035</v>
      </c>
      <c r="D4" s="52"/>
      <c r="E4" s="52"/>
      <c r="F4" s="52"/>
      <c r="G4" s="52"/>
      <c r="H4" s="52"/>
      <c r="I4" s="52"/>
      <c r="J4" s="52"/>
    </row>
    <row r="5" spans="2:11" x14ac:dyDescent="0.25">
      <c r="B5" s="49" t="s">
        <v>14</v>
      </c>
      <c r="C5" s="49">
        <v>724185</v>
      </c>
      <c r="D5" s="121">
        <v>354334</v>
      </c>
      <c r="E5" s="121">
        <v>60349</v>
      </c>
      <c r="F5" s="121">
        <v>60349</v>
      </c>
      <c r="G5" s="121">
        <v>60349</v>
      </c>
      <c r="H5" s="121">
        <v>60349</v>
      </c>
      <c r="I5" s="121">
        <v>60349</v>
      </c>
      <c r="J5" s="121">
        <f>+D5+E5+F5+G5+H5+I5</f>
        <v>656079</v>
      </c>
      <c r="K5" s="28"/>
    </row>
    <row r="6" spans="2:11" x14ac:dyDescent="0.25">
      <c r="B6" s="49" t="s">
        <v>15</v>
      </c>
      <c r="C6" s="49">
        <v>1127169</v>
      </c>
      <c r="D6" s="121">
        <v>662562</v>
      </c>
      <c r="E6" s="121">
        <v>93931</v>
      </c>
      <c r="F6" s="121">
        <v>93931</v>
      </c>
      <c r="G6" s="121">
        <v>93931</v>
      </c>
      <c r="H6" s="121">
        <v>93931</v>
      </c>
      <c r="I6" s="121">
        <f>93931-5048</f>
        <v>88883</v>
      </c>
      <c r="J6" s="121">
        <f>+D6+E6+F6+G6+H6+I6</f>
        <v>1127169</v>
      </c>
      <c r="K6" s="28"/>
    </row>
    <row r="7" spans="2:11" x14ac:dyDescent="0.25">
      <c r="B7" s="49" t="s">
        <v>20</v>
      </c>
      <c r="C7" s="49">
        <v>40671</v>
      </c>
      <c r="D7" s="121">
        <v>5053</v>
      </c>
      <c r="E7" s="121">
        <v>0</v>
      </c>
      <c r="F7" s="121">
        <v>35618</v>
      </c>
      <c r="G7" s="121"/>
      <c r="H7" s="121">
        <v>0</v>
      </c>
      <c r="I7" s="121"/>
      <c r="J7" s="121">
        <f>+D7+E7+F7+G7+H7+I7</f>
        <v>40671</v>
      </c>
      <c r="K7" s="28"/>
    </row>
    <row r="8" spans="2:11" x14ac:dyDescent="0.25">
      <c r="B8" s="49" t="s">
        <v>53</v>
      </c>
      <c r="C8" s="49">
        <v>10</v>
      </c>
      <c r="D8" s="121">
        <v>0</v>
      </c>
      <c r="E8" s="121"/>
      <c r="F8" s="121"/>
      <c r="G8" s="121"/>
      <c r="H8" s="121"/>
      <c r="I8" s="121"/>
      <c r="J8" s="121"/>
      <c r="K8" s="2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1"/>
  <sheetViews>
    <sheetView workbookViewId="0">
      <selection activeCell="O22" sqref="O22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</cols>
  <sheetData>
    <row r="1" spans="2:15" s="2" customFormat="1" ht="21" x14ac:dyDescent="0.35">
      <c r="C1" s="3" t="s">
        <v>51</v>
      </c>
    </row>
    <row r="2" spans="2:15" ht="29.25" customHeight="1" x14ac:dyDescent="0.25">
      <c r="C2" s="4" t="str">
        <f>+'Caja Diaria SPD'!C2</f>
        <v>MES: DICIEMBRE 2022</v>
      </c>
    </row>
    <row r="3" spans="2:15" x14ac:dyDescent="0.25">
      <c r="C3" s="5"/>
    </row>
    <row r="4" spans="2:15" ht="15.75" x14ac:dyDescent="0.25">
      <c r="B4" s="1"/>
      <c r="C4" s="145" t="s">
        <v>38</v>
      </c>
      <c r="D4" s="146"/>
      <c r="E4" s="146"/>
      <c r="F4" s="146"/>
      <c r="G4" s="146"/>
      <c r="H4" s="146"/>
      <c r="I4" s="146"/>
      <c r="J4" s="146"/>
      <c r="K4" s="146"/>
      <c r="L4" s="147"/>
    </row>
    <row r="5" spans="2:15" x14ac:dyDescent="0.25">
      <c r="C5" s="148" t="s">
        <v>39</v>
      </c>
      <c r="D5" s="148"/>
      <c r="E5" s="148" t="s">
        <v>40</v>
      </c>
      <c r="F5" s="148"/>
      <c r="G5" s="148" t="s">
        <v>41</v>
      </c>
      <c r="H5" s="148"/>
      <c r="I5" s="148" t="s">
        <v>42</v>
      </c>
      <c r="J5" s="148"/>
      <c r="K5" s="148" t="s">
        <v>43</v>
      </c>
      <c r="L5" s="148"/>
    </row>
    <row r="6" spans="2:15" x14ac:dyDescent="0.25">
      <c r="C6" s="6" t="s">
        <v>44</v>
      </c>
      <c r="D6" s="6" t="s">
        <v>45</v>
      </c>
      <c r="E6" s="6" t="s">
        <v>44</v>
      </c>
      <c r="F6" s="6" t="s">
        <v>45</v>
      </c>
      <c r="G6" s="6" t="s">
        <v>44</v>
      </c>
      <c r="H6" s="6" t="s">
        <v>45</v>
      </c>
      <c r="I6" s="6" t="s">
        <v>44</v>
      </c>
      <c r="J6" s="6" t="s">
        <v>45</v>
      </c>
      <c r="K6" s="6" t="s">
        <v>44</v>
      </c>
      <c r="L6" s="6" t="s">
        <v>45</v>
      </c>
    </row>
    <row r="7" spans="2:15" ht="15.75" x14ac:dyDescent="0.25">
      <c r="C7" s="8">
        <v>1</v>
      </c>
      <c r="D7" s="12">
        <v>60000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5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/>
      <c r="K8" s="15">
        <v>30</v>
      </c>
      <c r="L8" s="16"/>
      <c r="N8" s="17"/>
      <c r="O8" s="18"/>
    </row>
    <row r="9" spans="2:15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5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5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5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5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5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5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5" ht="15.75" thickBot="1" x14ac:dyDescent="0.3">
      <c r="D16" s="25"/>
      <c r="E16" s="25"/>
      <c r="F16" s="25"/>
      <c r="G16" s="25"/>
      <c r="H16" s="25"/>
      <c r="I16" s="25"/>
      <c r="J16" s="25"/>
      <c r="L16" s="26"/>
    </row>
    <row r="17" spans="3:15" ht="15.75" thickBot="1" x14ac:dyDescent="0.3">
      <c r="D17" s="25"/>
      <c r="E17" s="25"/>
      <c r="F17" s="25"/>
      <c r="G17" s="25"/>
      <c r="H17" s="149" t="s">
        <v>46</v>
      </c>
      <c r="I17" s="150"/>
      <c r="J17" s="27">
        <f>+D7</f>
        <v>60000</v>
      </c>
      <c r="L17" s="28"/>
    </row>
    <row r="19" spans="3:15" x14ac:dyDescent="0.25">
      <c r="C19" s="145" t="s">
        <v>47</v>
      </c>
      <c r="D19" s="146"/>
      <c r="E19" s="146"/>
      <c r="F19" s="146"/>
      <c r="G19" s="146"/>
      <c r="H19" s="146"/>
      <c r="I19" s="146"/>
      <c r="J19" s="146"/>
      <c r="K19" s="146"/>
      <c r="L19" s="147"/>
    </row>
    <row r="20" spans="3:15" x14ac:dyDescent="0.25">
      <c r="C20" s="148" t="s">
        <v>39</v>
      </c>
      <c r="D20" s="148"/>
      <c r="E20" s="148" t="s">
        <v>40</v>
      </c>
      <c r="F20" s="148"/>
      <c r="G20" s="148" t="s">
        <v>41</v>
      </c>
      <c r="H20" s="148"/>
      <c r="I20" s="148" t="s">
        <v>42</v>
      </c>
      <c r="J20" s="148"/>
      <c r="K20" s="148" t="s">
        <v>43</v>
      </c>
      <c r="L20" s="148"/>
    </row>
    <row r="21" spans="3:15" x14ac:dyDescent="0.25">
      <c r="C21" s="6" t="s">
        <v>44</v>
      </c>
      <c r="D21" s="7" t="s">
        <v>45</v>
      </c>
      <c r="E21" s="6" t="s">
        <v>44</v>
      </c>
      <c r="F21" s="6" t="s">
        <v>45</v>
      </c>
      <c r="G21" s="6" t="s">
        <v>44</v>
      </c>
      <c r="H21" s="6" t="s">
        <v>45</v>
      </c>
      <c r="I21" s="6" t="s">
        <v>44</v>
      </c>
      <c r="J21" s="6" t="s">
        <v>45</v>
      </c>
      <c r="K21" s="6" t="s">
        <v>44</v>
      </c>
      <c r="L21" s="6" t="s">
        <v>45</v>
      </c>
    </row>
    <row r="22" spans="3:15" ht="15.75" x14ac:dyDescent="0.25">
      <c r="C22" s="8">
        <v>1</v>
      </c>
      <c r="D22" s="9"/>
      <c r="E22" s="10">
        <v>8</v>
      </c>
      <c r="F22" s="9"/>
      <c r="G22" s="11">
        <v>15</v>
      </c>
      <c r="H22" s="12"/>
      <c r="I22" s="11">
        <v>22</v>
      </c>
      <c r="J22" s="9"/>
      <c r="K22" s="11">
        <v>29</v>
      </c>
      <c r="L22" s="13"/>
    </row>
    <row r="23" spans="3:15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5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2"/>
      <c r="K24" s="15">
        <v>31</v>
      </c>
      <c r="L24" s="16"/>
      <c r="O24" s="18"/>
    </row>
    <row r="25" spans="3:15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2"/>
      <c r="K25" s="15"/>
      <c r="L25" s="16"/>
      <c r="O25" s="18"/>
    </row>
    <row r="26" spans="3:15" x14ac:dyDescent="0.25">
      <c r="C26" s="14">
        <v>5</v>
      </c>
      <c r="D26" s="30"/>
      <c r="E26" s="15">
        <v>12</v>
      </c>
      <c r="F26" s="12"/>
      <c r="G26" s="15">
        <v>19</v>
      </c>
      <c r="H26" s="12"/>
      <c r="I26" s="15">
        <v>26</v>
      </c>
      <c r="J26" s="12"/>
      <c r="K26" s="15"/>
      <c r="L26" s="16"/>
      <c r="O26" s="18"/>
    </row>
    <row r="27" spans="3:15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2"/>
      <c r="K27" s="15"/>
      <c r="L27" s="16"/>
    </row>
    <row r="28" spans="3:15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2"/>
      <c r="K28" s="15"/>
      <c r="L28" s="16"/>
    </row>
    <row r="29" spans="3:15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5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5" ht="15.75" thickBot="1" x14ac:dyDescent="0.3">
      <c r="D31" s="31"/>
      <c r="E31" s="31"/>
      <c r="F31" s="31"/>
      <c r="G31" s="31"/>
      <c r="H31" s="31"/>
      <c r="I31" s="31"/>
      <c r="J31" s="31"/>
    </row>
    <row r="32" spans="3:15" ht="15.75" thickBot="1" x14ac:dyDescent="0.3">
      <c r="H32" s="149" t="s">
        <v>48</v>
      </c>
      <c r="I32" s="150"/>
      <c r="J32" s="27">
        <f>+D22+D23+D24+D25+D26+D27+D28+F22+F23+F24+F25+F26+F27+F28+H22+H23+H24+H25+H26+H27+H28+J22+J23+J24+J25+J26+J27+J28+L22+L23+L24</f>
        <v>0</v>
      </c>
      <c r="L32" s="32"/>
      <c r="N32" s="33"/>
    </row>
    <row r="33" spans="2:12" ht="15.75" thickBot="1" x14ac:dyDescent="0.3">
      <c r="H33" s="151"/>
      <c r="I33" s="152"/>
    </row>
    <row r="34" spans="2:12" ht="15.75" thickBot="1" x14ac:dyDescent="0.3">
      <c r="H34" s="149" t="s">
        <v>49</v>
      </c>
      <c r="I34" s="150"/>
      <c r="J34" s="27">
        <f>+J17+J32</f>
        <v>60000</v>
      </c>
      <c r="K34" s="34"/>
      <c r="L34" s="25"/>
    </row>
    <row r="35" spans="2:12" x14ac:dyDescent="0.25">
      <c r="B35" s="35" t="s">
        <v>50</v>
      </c>
    </row>
    <row r="36" spans="2:12" x14ac:dyDescent="0.25">
      <c r="B36" s="36"/>
      <c r="C36" s="153"/>
      <c r="D36" s="153"/>
      <c r="E36" s="153"/>
      <c r="F36" s="153"/>
      <c r="G36" s="153"/>
      <c r="H36" s="153"/>
      <c r="I36" s="153"/>
      <c r="J36" s="153"/>
      <c r="K36" s="153"/>
      <c r="L36" s="154"/>
    </row>
    <row r="37" spans="2:12" x14ac:dyDescent="0.25">
      <c r="B37" s="37"/>
      <c r="C37" s="155"/>
      <c r="D37" s="155"/>
      <c r="E37" s="155"/>
      <c r="F37" s="155"/>
      <c r="G37" s="155"/>
      <c r="H37" s="155"/>
      <c r="I37" s="155"/>
      <c r="J37" s="155"/>
      <c r="K37" s="155"/>
      <c r="L37" s="156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  <mergeCell ref="C4:L4"/>
    <mergeCell ref="C5:D5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X193"/>
  <sheetViews>
    <sheetView topLeftCell="B1" zoomScale="90" zoomScaleNormal="90" workbookViewId="0">
      <pane ySplit="2" topLeftCell="A3" activePane="bottomLeft" state="frozen"/>
      <selection activeCell="G1" sqref="G1"/>
      <selection pane="bottomLeft" activeCell="N68" sqref="N68:N74"/>
    </sheetView>
  </sheetViews>
  <sheetFormatPr baseColWidth="10" defaultColWidth="20.5703125" defaultRowHeight="12.75" x14ac:dyDescent="0.2"/>
  <cols>
    <col min="1" max="1" width="12.28515625" style="53" bestFit="1" customWidth="1"/>
    <col min="2" max="2" width="8.5703125" style="53" bestFit="1" customWidth="1"/>
    <col min="3" max="3" width="9.140625" style="53" bestFit="1" customWidth="1"/>
    <col min="4" max="4" width="13.28515625" style="53" bestFit="1" customWidth="1"/>
    <col min="5" max="5" width="11.140625" style="53" customWidth="1"/>
    <col min="6" max="6" width="19.5703125" style="53" customWidth="1"/>
    <col min="7" max="7" width="37.7109375" style="53" customWidth="1"/>
    <col min="8" max="8" width="14.28515625" style="53" hidden="1" customWidth="1"/>
    <col min="9" max="9" width="15.85546875" style="53" hidden="1" customWidth="1"/>
    <col min="10" max="10" width="17.85546875" style="53" hidden="1" customWidth="1"/>
    <col min="11" max="11" width="16" style="53" hidden="1" customWidth="1"/>
    <col min="12" max="12" width="15" style="53" hidden="1" customWidth="1"/>
    <col min="13" max="13" width="12.7109375" style="53" customWidth="1"/>
    <col min="14" max="14" width="13.140625" style="53" bestFit="1" customWidth="1"/>
    <col min="15" max="15" width="14.85546875" style="53" bestFit="1" customWidth="1"/>
    <col min="16" max="16" width="12.7109375" style="53" bestFit="1" customWidth="1"/>
    <col min="17" max="17" width="14.28515625" style="53" bestFit="1" customWidth="1"/>
    <col min="18" max="18" width="13.7109375" style="53" bestFit="1" customWidth="1"/>
    <col min="19" max="19" width="23.42578125" style="54" bestFit="1" customWidth="1"/>
    <col min="20" max="20" width="21.28515625" style="53" bestFit="1" customWidth="1"/>
    <col min="21" max="21" width="37.42578125" style="53" bestFit="1" customWidth="1"/>
    <col min="22" max="22" width="7.85546875" style="53" bestFit="1" customWidth="1"/>
    <col min="23" max="23" width="20.5703125" style="53"/>
    <col min="24" max="24" width="1.28515625" style="53" bestFit="1" customWidth="1"/>
    <col min="25" max="16384" width="20.5703125" style="53"/>
  </cols>
  <sheetData>
    <row r="1" spans="1:22" ht="13.5" thickBot="1" x14ac:dyDescent="0.25">
      <c r="G1" s="93">
        <f>H1-S1-T1</f>
        <v>-438220250</v>
      </c>
      <c r="H1" s="92">
        <f t="shared" ref="H1:T1" si="0">SUBTOTAL(9,H3:H826)</f>
        <v>1012699106</v>
      </c>
      <c r="I1" s="92">
        <f t="shared" si="0"/>
        <v>1197185994</v>
      </c>
      <c r="J1" s="92">
        <f t="shared" si="0"/>
        <v>253733362</v>
      </c>
      <c r="K1" s="92">
        <f t="shared" si="0"/>
        <v>279937424</v>
      </c>
      <c r="L1" s="92">
        <f t="shared" si="0"/>
        <v>917248570</v>
      </c>
      <c r="M1" s="92">
        <f t="shared" si="0"/>
        <v>49351614</v>
      </c>
      <c r="N1" s="92">
        <f t="shared" si="0"/>
        <v>429650952</v>
      </c>
      <c r="O1" s="92">
        <f t="shared" si="0"/>
        <v>390250528</v>
      </c>
      <c r="P1" s="92">
        <f t="shared" si="0"/>
        <v>12018214</v>
      </c>
      <c r="Q1" s="92">
        <f t="shared" si="0"/>
        <v>229900565</v>
      </c>
      <c r="R1" s="92">
        <f t="shared" si="0"/>
        <v>57317578</v>
      </c>
      <c r="S1" s="92">
        <f t="shared" si="0"/>
        <v>1418052635</v>
      </c>
      <c r="T1" s="92">
        <f t="shared" si="0"/>
        <v>32866721</v>
      </c>
      <c r="U1" s="91">
        <f>H1-S1-T1</f>
        <v>-438220250</v>
      </c>
      <c r="V1" s="56"/>
    </row>
    <row r="2" spans="1:22" ht="25.5" x14ac:dyDescent="0.2">
      <c r="A2" s="90" t="s">
        <v>238</v>
      </c>
      <c r="B2" s="90" t="s">
        <v>237</v>
      </c>
      <c r="C2" s="90" t="s">
        <v>0</v>
      </c>
      <c r="D2" s="90" t="s">
        <v>236</v>
      </c>
      <c r="E2" s="90" t="s">
        <v>235</v>
      </c>
      <c r="F2" s="90" t="s">
        <v>234</v>
      </c>
      <c r="G2" s="90" t="s">
        <v>233</v>
      </c>
      <c r="H2" s="90" t="s">
        <v>232</v>
      </c>
      <c r="I2" s="90" t="s">
        <v>231</v>
      </c>
      <c r="J2" s="90" t="s">
        <v>230</v>
      </c>
      <c r="K2" s="90" t="s">
        <v>229</v>
      </c>
      <c r="L2" s="89" t="s">
        <v>228</v>
      </c>
      <c r="M2" s="88" t="s">
        <v>27</v>
      </c>
      <c r="N2" s="88" t="s">
        <v>28</v>
      </c>
      <c r="O2" s="88" t="s">
        <v>29</v>
      </c>
      <c r="P2" s="88" t="s">
        <v>30</v>
      </c>
      <c r="Q2" s="88" t="s">
        <v>31</v>
      </c>
      <c r="R2" s="88" t="s">
        <v>32</v>
      </c>
      <c r="S2" s="87" t="s">
        <v>227</v>
      </c>
      <c r="T2" s="87" t="s">
        <v>226</v>
      </c>
      <c r="U2" s="87" t="s">
        <v>225</v>
      </c>
    </row>
    <row r="3" spans="1:22" s="54" customFormat="1" hidden="1" x14ac:dyDescent="0.2">
      <c r="A3" s="60">
        <v>1</v>
      </c>
      <c r="B3" s="60" t="s">
        <v>66</v>
      </c>
      <c r="C3" s="59">
        <v>24</v>
      </c>
      <c r="D3" s="59">
        <v>24</v>
      </c>
      <c r="E3" s="59" t="s">
        <v>216</v>
      </c>
      <c r="F3" s="59" t="s">
        <v>90</v>
      </c>
      <c r="G3" s="59" t="s">
        <v>224</v>
      </c>
      <c r="H3" s="58">
        <v>329283000</v>
      </c>
      <c r="I3" s="58">
        <v>282267253</v>
      </c>
      <c r="J3" s="58">
        <v>47015747</v>
      </c>
      <c r="K3" s="58">
        <v>138357363</v>
      </c>
      <c r="L3" s="58">
        <v>143909890</v>
      </c>
      <c r="M3" s="58">
        <v>23825075</v>
      </c>
      <c r="N3" s="58">
        <v>23825075</v>
      </c>
      <c r="O3" s="58">
        <v>23825075</v>
      </c>
      <c r="P3" s="58">
        <v>23825075</v>
      </c>
      <c r="Q3" s="58">
        <v>23825075</v>
      </c>
      <c r="R3" s="58">
        <v>23825075</v>
      </c>
      <c r="S3" s="57">
        <f t="shared" ref="S3:S34" si="1">SUM(K3:R3)-L3</f>
        <v>281307813</v>
      </c>
      <c r="T3" s="57">
        <f>H3-S3</f>
        <v>47975187</v>
      </c>
      <c r="U3" s="57"/>
    </row>
    <row r="4" spans="1:22" s="54" customFormat="1" hidden="1" x14ac:dyDescent="0.2">
      <c r="A4" s="60">
        <v>1</v>
      </c>
      <c r="B4" s="60" t="s">
        <v>66</v>
      </c>
      <c r="C4" s="59">
        <v>24</v>
      </c>
      <c r="D4" s="59">
        <v>24</v>
      </c>
      <c r="E4" s="59" t="s">
        <v>216</v>
      </c>
      <c r="F4" s="59" t="s">
        <v>88</v>
      </c>
      <c r="G4" s="59" t="s">
        <v>87</v>
      </c>
      <c r="H4" s="76" t="s">
        <v>98</v>
      </c>
      <c r="I4" s="58">
        <v>0</v>
      </c>
      <c r="J4" s="58">
        <v>0</v>
      </c>
      <c r="K4" s="58">
        <v>0</v>
      </c>
      <c r="L4" s="58">
        <v>0</v>
      </c>
      <c r="M4" s="58"/>
      <c r="N4" s="58"/>
      <c r="O4" s="58"/>
      <c r="P4" s="58"/>
      <c r="Q4" s="58"/>
      <c r="R4" s="58"/>
      <c r="S4" s="57">
        <f t="shared" si="1"/>
        <v>0</v>
      </c>
      <c r="T4" s="75" t="s">
        <v>98</v>
      </c>
      <c r="U4" s="57"/>
    </row>
    <row r="5" spans="1:22" s="54" customFormat="1" ht="25.5" hidden="1" x14ac:dyDescent="0.2">
      <c r="A5" s="60">
        <v>1</v>
      </c>
      <c r="B5" s="60" t="s">
        <v>66</v>
      </c>
      <c r="C5" s="59">
        <v>24</v>
      </c>
      <c r="D5" s="59">
        <v>24</v>
      </c>
      <c r="E5" s="59" t="s">
        <v>216</v>
      </c>
      <c r="F5" s="71" t="s">
        <v>81</v>
      </c>
      <c r="G5" s="59" t="s">
        <v>86</v>
      </c>
      <c r="H5" s="58">
        <v>19635715</v>
      </c>
      <c r="I5" s="58">
        <v>18293045</v>
      </c>
      <c r="J5" s="58">
        <v>1342670</v>
      </c>
      <c r="K5" s="58">
        <v>16007939</v>
      </c>
      <c r="L5" s="58">
        <v>2285106</v>
      </c>
      <c r="M5" s="58">
        <f t="shared" ref="M5:R5" si="2">SUM(M7:M10)</f>
        <v>0</v>
      </c>
      <c r="N5" s="58">
        <f t="shared" si="2"/>
        <v>248300</v>
      </c>
      <c r="O5" s="58">
        <f t="shared" si="2"/>
        <v>1675970</v>
      </c>
      <c r="P5" s="58">
        <f t="shared" si="2"/>
        <v>333300</v>
      </c>
      <c r="Q5" s="58">
        <f t="shared" si="2"/>
        <v>333300</v>
      </c>
      <c r="R5" s="58">
        <f t="shared" si="2"/>
        <v>1036906</v>
      </c>
      <c r="S5" s="58">
        <f t="shared" si="1"/>
        <v>19635715</v>
      </c>
      <c r="T5" s="57">
        <f>H5-S5</f>
        <v>0</v>
      </c>
      <c r="U5" s="57"/>
    </row>
    <row r="6" spans="1:22" s="86" customFormat="1" ht="33.75" hidden="1" x14ac:dyDescent="0.2">
      <c r="A6" s="67">
        <v>1</v>
      </c>
      <c r="B6" s="67" t="s">
        <v>70</v>
      </c>
      <c r="C6" s="66">
        <v>24</v>
      </c>
      <c r="D6" s="66">
        <v>2403115</v>
      </c>
      <c r="E6" s="66" t="s">
        <v>216</v>
      </c>
      <c r="F6" s="66" t="s">
        <v>81</v>
      </c>
      <c r="G6" s="65" t="s">
        <v>223</v>
      </c>
      <c r="H6" s="63"/>
      <c r="I6" s="63">
        <v>14810045</v>
      </c>
      <c r="J6" s="63"/>
      <c r="K6" s="63">
        <v>14810045</v>
      </c>
      <c r="L6" s="63">
        <f>I6-K6</f>
        <v>0</v>
      </c>
      <c r="M6" s="62"/>
      <c r="N6" s="62"/>
      <c r="O6" s="62"/>
      <c r="P6" s="62"/>
      <c r="Q6" s="62"/>
      <c r="R6" s="62"/>
      <c r="S6" s="61">
        <f t="shared" si="1"/>
        <v>14810045</v>
      </c>
      <c r="T6" s="61">
        <f>I6-S6</f>
        <v>0</v>
      </c>
      <c r="U6" s="61" t="s">
        <v>73</v>
      </c>
    </row>
    <row r="7" spans="1:22" s="86" customFormat="1" ht="45" hidden="1" x14ac:dyDescent="0.2">
      <c r="A7" s="67">
        <v>1</v>
      </c>
      <c r="B7" s="67" t="s">
        <v>70</v>
      </c>
      <c r="C7" s="66">
        <v>24</v>
      </c>
      <c r="D7" s="66">
        <v>2403115</v>
      </c>
      <c r="E7" s="66" t="s">
        <v>216</v>
      </c>
      <c r="F7" s="66" t="s">
        <v>81</v>
      </c>
      <c r="G7" s="65" t="s">
        <v>222</v>
      </c>
      <c r="H7" s="63"/>
      <c r="I7" s="63">
        <v>2000000</v>
      </c>
      <c r="J7" s="63"/>
      <c r="K7" s="63">
        <v>963368</v>
      </c>
      <c r="L7" s="63">
        <f>I7-K7</f>
        <v>1036632</v>
      </c>
      <c r="M7" s="62"/>
      <c r="N7" s="62">
        <v>190000</v>
      </c>
      <c r="O7" s="62">
        <v>190000</v>
      </c>
      <c r="P7" s="62">
        <v>190000</v>
      </c>
      <c r="Q7" s="62">
        <v>190000</v>
      </c>
      <c r="R7" s="62">
        <v>276632</v>
      </c>
      <c r="S7" s="61">
        <f t="shared" si="1"/>
        <v>2000000</v>
      </c>
      <c r="T7" s="61">
        <f>I7-S7</f>
        <v>0</v>
      </c>
      <c r="U7" s="85"/>
    </row>
    <row r="8" spans="1:22" s="86" customFormat="1" ht="11.25" hidden="1" x14ac:dyDescent="0.2">
      <c r="A8" s="67">
        <v>1</v>
      </c>
      <c r="B8" s="67" t="s">
        <v>70</v>
      </c>
      <c r="C8" s="66">
        <v>24</v>
      </c>
      <c r="D8" s="66">
        <v>2403115</v>
      </c>
      <c r="E8" s="66" t="s">
        <v>216</v>
      </c>
      <c r="F8" s="66" t="s">
        <v>81</v>
      </c>
      <c r="G8" s="65" t="s">
        <v>221</v>
      </c>
      <c r="H8" s="63"/>
      <c r="I8" s="63">
        <v>1400000</v>
      </c>
      <c r="J8" s="63"/>
      <c r="K8" s="63">
        <v>232500</v>
      </c>
      <c r="L8" s="63">
        <f>I8-K8</f>
        <v>1167500</v>
      </c>
      <c r="M8" s="62"/>
      <c r="N8" s="62">
        <v>50000</v>
      </c>
      <c r="O8" s="62">
        <v>135000</v>
      </c>
      <c r="P8" s="62">
        <v>135000</v>
      </c>
      <c r="Q8" s="62">
        <v>135000</v>
      </c>
      <c r="R8" s="62">
        <v>712500</v>
      </c>
      <c r="S8" s="61">
        <f t="shared" si="1"/>
        <v>1400000</v>
      </c>
      <c r="T8" s="61">
        <f>I8-S8</f>
        <v>0</v>
      </c>
      <c r="U8" s="85"/>
    </row>
    <row r="9" spans="1:22" s="86" customFormat="1" ht="11.25" hidden="1" x14ac:dyDescent="0.2">
      <c r="A9" s="67">
        <v>1</v>
      </c>
      <c r="B9" s="67" t="s">
        <v>70</v>
      </c>
      <c r="C9" s="66">
        <v>24</v>
      </c>
      <c r="D9" s="66">
        <v>2403115</v>
      </c>
      <c r="E9" s="66" t="s">
        <v>216</v>
      </c>
      <c r="F9" s="66" t="s">
        <v>81</v>
      </c>
      <c r="G9" s="65" t="s">
        <v>169</v>
      </c>
      <c r="H9" s="63"/>
      <c r="I9" s="63">
        <v>83000</v>
      </c>
      <c r="J9" s="63"/>
      <c r="K9" s="63">
        <v>2026</v>
      </c>
      <c r="L9" s="63">
        <f>I9-K9</f>
        <v>80974</v>
      </c>
      <c r="M9" s="62"/>
      <c r="N9" s="62">
        <v>8300</v>
      </c>
      <c r="O9" s="62">
        <v>8300</v>
      </c>
      <c r="P9" s="62">
        <v>8300</v>
      </c>
      <c r="Q9" s="62">
        <v>8300</v>
      </c>
      <c r="R9" s="62">
        <v>47774</v>
      </c>
      <c r="S9" s="61">
        <f t="shared" si="1"/>
        <v>83000</v>
      </c>
      <c r="T9" s="61">
        <f>I9-S9</f>
        <v>0</v>
      </c>
      <c r="U9" s="85"/>
    </row>
    <row r="10" spans="1:22" s="86" customFormat="1" ht="11.25" hidden="1" x14ac:dyDescent="0.2">
      <c r="A10" s="67">
        <v>1</v>
      </c>
      <c r="B10" s="67" t="s">
        <v>70</v>
      </c>
      <c r="C10" s="66">
        <v>24</v>
      </c>
      <c r="D10" s="66">
        <v>2403115</v>
      </c>
      <c r="E10" s="66" t="s">
        <v>216</v>
      </c>
      <c r="F10" s="66" t="s">
        <v>81</v>
      </c>
      <c r="G10" s="65" t="s">
        <v>67</v>
      </c>
      <c r="H10" s="63"/>
      <c r="I10" s="63"/>
      <c r="J10" s="63"/>
      <c r="K10" s="63"/>
      <c r="L10" s="63"/>
      <c r="M10" s="62"/>
      <c r="N10" s="62"/>
      <c r="O10" s="68">
        <f>J5</f>
        <v>1342670</v>
      </c>
      <c r="P10" s="62"/>
      <c r="Q10" s="62"/>
      <c r="R10" s="62"/>
      <c r="S10" s="61">
        <f t="shared" si="1"/>
        <v>1342670</v>
      </c>
      <c r="T10" s="61">
        <f>I10-S10</f>
        <v>-1342670</v>
      </c>
      <c r="U10" s="85"/>
    </row>
    <row r="11" spans="1:22" s="54" customFormat="1" ht="38.25" hidden="1" x14ac:dyDescent="0.2">
      <c r="A11" s="60">
        <v>1</v>
      </c>
      <c r="B11" s="60" t="s">
        <v>66</v>
      </c>
      <c r="C11" s="59">
        <v>24</v>
      </c>
      <c r="D11" s="59">
        <v>24</v>
      </c>
      <c r="E11" s="59" t="s">
        <v>216</v>
      </c>
      <c r="F11" s="71" t="s">
        <v>78</v>
      </c>
      <c r="G11" s="59" t="s">
        <v>79</v>
      </c>
      <c r="H11" s="58">
        <v>58115285</v>
      </c>
      <c r="I11" s="58">
        <v>12507138</v>
      </c>
      <c r="J11" s="58">
        <v>45608147</v>
      </c>
      <c r="K11" s="58">
        <v>5957973</v>
      </c>
      <c r="L11" s="58">
        <v>6549165</v>
      </c>
      <c r="M11" s="58">
        <f t="shared" ref="M11:R11" si="3">SUM(M12:M15)</f>
        <v>0</v>
      </c>
      <c r="N11" s="58">
        <f t="shared" si="3"/>
        <v>6549165</v>
      </c>
      <c r="O11" s="58">
        <f t="shared" si="3"/>
        <v>45608147</v>
      </c>
      <c r="P11" s="58">
        <f t="shared" si="3"/>
        <v>0</v>
      </c>
      <c r="Q11" s="58">
        <f t="shared" si="3"/>
        <v>0</v>
      </c>
      <c r="R11" s="58">
        <f t="shared" si="3"/>
        <v>0</v>
      </c>
      <c r="S11" s="58">
        <f t="shared" si="1"/>
        <v>58115285</v>
      </c>
      <c r="T11" s="57">
        <f>H11-S11</f>
        <v>0</v>
      </c>
      <c r="U11" s="57"/>
    </row>
    <row r="12" spans="1:22" customFormat="1" ht="45" hidden="1" x14ac:dyDescent="0.25">
      <c r="A12" s="67">
        <v>1</v>
      </c>
      <c r="B12" s="67" t="s">
        <v>70</v>
      </c>
      <c r="C12" s="66">
        <v>24</v>
      </c>
      <c r="D12" s="66">
        <v>2403115</v>
      </c>
      <c r="E12" s="66" t="s">
        <v>216</v>
      </c>
      <c r="F12" s="65" t="s">
        <v>78</v>
      </c>
      <c r="G12" s="65" t="s">
        <v>220</v>
      </c>
      <c r="H12" s="64"/>
      <c r="I12" s="63">
        <v>35343</v>
      </c>
      <c r="J12" s="64"/>
      <c r="K12" s="63">
        <v>35343</v>
      </c>
      <c r="L12" s="63">
        <f>I12-K12</f>
        <v>0</v>
      </c>
      <c r="M12" s="62"/>
      <c r="N12" s="62"/>
      <c r="O12" s="62"/>
      <c r="P12" s="62"/>
      <c r="Q12" s="62"/>
      <c r="R12" s="62"/>
      <c r="S12" s="61">
        <f t="shared" si="1"/>
        <v>35343</v>
      </c>
      <c r="T12" s="61">
        <f>I12-S12</f>
        <v>0</v>
      </c>
      <c r="U12" s="61" t="s">
        <v>73</v>
      </c>
    </row>
    <row r="13" spans="1:22" customFormat="1" ht="33.75" hidden="1" x14ac:dyDescent="0.25">
      <c r="A13" s="67">
        <v>1</v>
      </c>
      <c r="B13" s="67" t="s">
        <v>70</v>
      </c>
      <c r="C13" s="66">
        <v>24</v>
      </c>
      <c r="D13" s="66">
        <v>2403115</v>
      </c>
      <c r="E13" s="66" t="s">
        <v>216</v>
      </c>
      <c r="F13" s="65" t="s">
        <v>78</v>
      </c>
      <c r="G13" s="65" t="s">
        <v>219</v>
      </c>
      <c r="H13" s="64"/>
      <c r="I13" s="63">
        <v>12471795</v>
      </c>
      <c r="J13" s="64"/>
      <c r="K13" s="63">
        <v>5922630</v>
      </c>
      <c r="L13" s="63">
        <f>I13-K13</f>
        <v>6549165</v>
      </c>
      <c r="M13" s="53"/>
      <c r="N13" s="68">
        <v>6549165</v>
      </c>
      <c r="O13" s="62"/>
      <c r="P13" s="62"/>
      <c r="Q13" s="62"/>
      <c r="R13" s="62"/>
      <c r="S13" s="61">
        <f t="shared" si="1"/>
        <v>12471795</v>
      </c>
      <c r="T13" s="61">
        <f>I13-S13</f>
        <v>0</v>
      </c>
      <c r="U13" s="61" t="s">
        <v>218</v>
      </c>
    </row>
    <row r="14" spans="1:22" customFormat="1" ht="22.5" hidden="1" x14ac:dyDescent="0.25">
      <c r="A14" s="67">
        <v>1</v>
      </c>
      <c r="B14" s="67" t="s">
        <v>70</v>
      </c>
      <c r="C14" s="66">
        <v>24</v>
      </c>
      <c r="D14" s="66">
        <v>2403115</v>
      </c>
      <c r="E14" s="66" t="s">
        <v>216</v>
      </c>
      <c r="F14" s="65" t="s">
        <v>78</v>
      </c>
      <c r="G14" s="65" t="s">
        <v>217</v>
      </c>
      <c r="H14" s="64"/>
      <c r="I14" s="63"/>
      <c r="J14" s="64"/>
      <c r="K14" s="64"/>
      <c r="L14" s="63">
        <f>I14-K14</f>
        <v>0</v>
      </c>
      <c r="M14" s="62"/>
      <c r="N14" s="74"/>
      <c r="O14" s="68">
        <f>15000000</f>
        <v>15000000</v>
      </c>
      <c r="P14" s="62"/>
      <c r="Q14" s="62"/>
      <c r="R14" s="62"/>
      <c r="S14" s="61">
        <f t="shared" si="1"/>
        <v>15000000</v>
      </c>
      <c r="T14" s="61">
        <f>I14-S14</f>
        <v>-15000000</v>
      </c>
      <c r="U14" s="85"/>
    </row>
    <row r="15" spans="1:22" customFormat="1" ht="22.5" hidden="1" x14ac:dyDescent="0.25">
      <c r="A15" s="67">
        <v>1</v>
      </c>
      <c r="B15" s="67" t="s">
        <v>70</v>
      </c>
      <c r="C15" s="66">
        <v>24</v>
      </c>
      <c r="D15" s="66">
        <v>2403115</v>
      </c>
      <c r="E15" s="66" t="s">
        <v>216</v>
      </c>
      <c r="F15" s="65" t="s">
        <v>78</v>
      </c>
      <c r="G15" s="65" t="s">
        <v>215</v>
      </c>
      <c r="H15" s="64"/>
      <c r="I15" s="63"/>
      <c r="J15" s="64"/>
      <c r="K15" s="64"/>
      <c r="L15" s="63">
        <f>I15-K15</f>
        <v>0</v>
      </c>
      <c r="M15" s="62"/>
      <c r="N15" s="74"/>
      <c r="O15" s="68">
        <f>J11-O14</f>
        <v>30608147</v>
      </c>
      <c r="P15" s="62"/>
      <c r="Q15" s="62"/>
      <c r="R15" s="62"/>
      <c r="S15" s="61">
        <f t="shared" si="1"/>
        <v>30608147</v>
      </c>
      <c r="T15" s="61">
        <f>I15-S15</f>
        <v>-30608147</v>
      </c>
      <c r="U15" s="85"/>
    </row>
    <row r="16" spans="1:22" s="54" customFormat="1" hidden="1" x14ac:dyDescent="0.2">
      <c r="A16" s="60">
        <v>1</v>
      </c>
      <c r="B16" s="60" t="s">
        <v>66</v>
      </c>
      <c r="C16" s="59">
        <v>24</v>
      </c>
      <c r="D16" s="59">
        <v>24</v>
      </c>
      <c r="E16" s="59" t="s">
        <v>202</v>
      </c>
      <c r="F16" s="59" t="s">
        <v>90</v>
      </c>
      <c r="G16" s="59" t="s">
        <v>214</v>
      </c>
      <c r="H16" s="58">
        <v>242227744</v>
      </c>
      <c r="I16" s="58">
        <v>242227744</v>
      </c>
      <c r="J16" s="58">
        <v>0</v>
      </c>
      <c r="K16" s="58">
        <v>123125182</v>
      </c>
      <c r="L16" s="58">
        <v>119102562</v>
      </c>
      <c r="M16" s="58">
        <v>19830427</v>
      </c>
      <c r="N16" s="58">
        <v>19830427</v>
      </c>
      <c r="O16" s="58">
        <v>19830427</v>
      </c>
      <c r="P16" s="58">
        <v>19830427</v>
      </c>
      <c r="Q16" s="58">
        <v>19830427</v>
      </c>
      <c r="R16" s="58">
        <v>19830427</v>
      </c>
      <c r="S16" s="57">
        <f t="shared" si="1"/>
        <v>242107744</v>
      </c>
      <c r="T16" s="57">
        <f>H16-S16</f>
        <v>120000</v>
      </c>
      <c r="U16" s="57"/>
    </row>
    <row r="17" spans="1:22" s="54" customFormat="1" hidden="1" x14ac:dyDescent="0.2">
      <c r="A17" s="60">
        <v>1</v>
      </c>
      <c r="B17" s="60" t="s">
        <v>66</v>
      </c>
      <c r="C17" s="59">
        <v>24</v>
      </c>
      <c r="D17" s="59">
        <v>24</v>
      </c>
      <c r="E17" s="59" t="s">
        <v>202</v>
      </c>
      <c r="F17" s="59" t="s">
        <v>88</v>
      </c>
      <c r="G17" s="59" t="s">
        <v>87</v>
      </c>
      <c r="H17" s="58">
        <v>10000000</v>
      </c>
      <c r="I17" s="58">
        <v>2221407</v>
      </c>
      <c r="J17" s="58">
        <v>7778593</v>
      </c>
      <c r="K17" s="58">
        <v>2221407</v>
      </c>
      <c r="L17" s="58">
        <v>0</v>
      </c>
      <c r="M17" s="58">
        <v>300000</v>
      </c>
      <c r="N17" s="58">
        <v>300000</v>
      </c>
      <c r="O17" s="58">
        <v>600000</v>
      </c>
      <c r="P17" s="58">
        <v>1000000</v>
      </c>
      <c r="Q17" s="58">
        <v>1000000</v>
      </c>
      <c r="R17" s="58">
        <v>1000000</v>
      </c>
      <c r="S17" s="57">
        <f t="shared" si="1"/>
        <v>6421407</v>
      </c>
      <c r="T17" s="57">
        <f>H17-S17</f>
        <v>3578593</v>
      </c>
      <c r="U17" s="57"/>
    </row>
    <row r="18" spans="1:22" s="54" customFormat="1" ht="25.5" hidden="1" x14ac:dyDescent="0.2">
      <c r="A18" s="60">
        <v>1</v>
      </c>
      <c r="B18" s="60" t="s">
        <v>66</v>
      </c>
      <c r="C18" s="59">
        <v>24</v>
      </c>
      <c r="D18" s="59">
        <v>24</v>
      </c>
      <c r="E18" s="59" t="s">
        <v>202</v>
      </c>
      <c r="F18" s="71" t="s">
        <v>81</v>
      </c>
      <c r="G18" s="59" t="s">
        <v>86</v>
      </c>
      <c r="H18" s="58">
        <v>81896928</v>
      </c>
      <c r="I18" s="58">
        <v>77628512</v>
      </c>
      <c r="J18" s="58">
        <v>4268416</v>
      </c>
      <c r="K18" s="58">
        <v>70130728</v>
      </c>
      <c r="L18" s="58">
        <v>7497784</v>
      </c>
      <c r="M18" s="58">
        <f t="shared" ref="M18:R18" si="4">SUM(M19:M25)</f>
        <v>121065</v>
      </c>
      <c r="N18" s="58">
        <f t="shared" si="4"/>
        <v>514586</v>
      </c>
      <c r="O18" s="58">
        <f t="shared" si="4"/>
        <v>864586</v>
      </c>
      <c r="P18" s="58">
        <f t="shared" si="4"/>
        <v>914586</v>
      </c>
      <c r="Q18" s="58">
        <f t="shared" si="4"/>
        <v>5177533</v>
      </c>
      <c r="R18" s="58">
        <f t="shared" si="4"/>
        <v>4173844</v>
      </c>
      <c r="S18" s="57">
        <f t="shared" si="1"/>
        <v>81896928</v>
      </c>
      <c r="T18" s="57">
        <f>H18-S18</f>
        <v>0</v>
      </c>
      <c r="U18" s="57"/>
      <c r="V18" s="54">
        <v>59769744</v>
      </c>
    </row>
    <row r="19" spans="1:22" customFormat="1" ht="15" hidden="1" x14ac:dyDescent="0.25">
      <c r="A19" s="67">
        <v>1</v>
      </c>
      <c r="B19" s="67" t="s">
        <v>70</v>
      </c>
      <c r="C19" s="66">
        <v>24</v>
      </c>
      <c r="D19" s="66">
        <v>2403109</v>
      </c>
      <c r="E19" s="66" t="s">
        <v>202</v>
      </c>
      <c r="F19" s="66" t="s">
        <v>81</v>
      </c>
      <c r="G19" s="65" t="s">
        <v>73</v>
      </c>
      <c r="H19" s="64"/>
      <c r="I19" s="63">
        <v>68632652</v>
      </c>
      <c r="J19" s="64"/>
      <c r="K19" s="63">
        <f>40000000+28000000+308243+324409</f>
        <v>68632652</v>
      </c>
      <c r="L19" s="63">
        <f t="shared" ref="L19:L25" si="5">I19-K19</f>
        <v>0</v>
      </c>
      <c r="M19" s="62"/>
      <c r="N19" s="62"/>
      <c r="O19" s="62"/>
      <c r="P19" s="62"/>
      <c r="Q19" s="62"/>
      <c r="R19" s="62"/>
      <c r="S19" s="61">
        <f t="shared" si="1"/>
        <v>68632652</v>
      </c>
      <c r="T19" s="61">
        <f t="shared" ref="T19:T25" si="6">I19-S19</f>
        <v>0</v>
      </c>
      <c r="U19" s="61" t="s">
        <v>73</v>
      </c>
    </row>
    <row r="20" spans="1:22" customFormat="1" ht="22.5" hidden="1" x14ac:dyDescent="0.25">
      <c r="A20" s="67">
        <v>1</v>
      </c>
      <c r="B20" s="67" t="s">
        <v>70</v>
      </c>
      <c r="C20" s="66">
        <v>24</v>
      </c>
      <c r="D20" s="66">
        <v>2403109</v>
      </c>
      <c r="E20" s="66" t="s">
        <v>202</v>
      </c>
      <c r="F20" s="66" t="s">
        <v>81</v>
      </c>
      <c r="G20" s="65" t="s">
        <v>213</v>
      </c>
      <c r="H20" s="64"/>
      <c r="I20" s="63">
        <v>4000000</v>
      </c>
      <c r="J20" s="64"/>
      <c r="K20" s="63">
        <v>241023</v>
      </c>
      <c r="L20" s="63">
        <f t="shared" si="5"/>
        <v>3758977</v>
      </c>
      <c r="M20" s="62"/>
      <c r="N20" s="62">
        <v>150000</v>
      </c>
      <c r="O20" s="62">
        <v>350000</v>
      </c>
      <c r="P20" s="62">
        <v>400000</v>
      </c>
      <c r="Q20" s="62">
        <v>408977</v>
      </c>
      <c r="R20" s="62">
        <v>2450000</v>
      </c>
      <c r="S20" s="61">
        <f t="shared" si="1"/>
        <v>4000000</v>
      </c>
      <c r="T20" s="61">
        <f t="shared" si="6"/>
        <v>0</v>
      </c>
      <c r="U20" s="61"/>
    </row>
    <row r="21" spans="1:22" customFormat="1" ht="21" hidden="1" customHeight="1" x14ac:dyDescent="0.25">
      <c r="A21" s="67">
        <v>1</v>
      </c>
      <c r="B21" s="67" t="s">
        <v>70</v>
      </c>
      <c r="C21" s="66">
        <v>24</v>
      </c>
      <c r="D21" s="66">
        <v>2403109</v>
      </c>
      <c r="E21" s="66" t="s">
        <v>202</v>
      </c>
      <c r="F21" s="66" t="s">
        <v>81</v>
      </c>
      <c r="G21" s="65" t="s">
        <v>212</v>
      </c>
      <c r="H21" s="64"/>
      <c r="I21" s="63">
        <v>1000000</v>
      </c>
      <c r="J21" s="64"/>
      <c r="K21" s="63">
        <v>464446</v>
      </c>
      <c r="L21" s="63">
        <f t="shared" si="5"/>
        <v>535554</v>
      </c>
      <c r="M21" s="62"/>
      <c r="N21" s="62">
        <v>100000</v>
      </c>
      <c r="O21" s="62">
        <v>150000</v>
      </c>
      <c r="P21" s="62">
        <v>150000</v>
      </c>
      <c r="Q21" s="62">
        <v>135554</v>
      </c>
      <c r="R21" s="62"/>
      <c r="S21" s="61">
        <f t="shared" si="1"/>
        <v>1000000</v>
      </c>
      <c r="T21" s="61">
        <f t="shared" si="6"/>
        <v>0</v>
      </c>
      <c r="U21" s="61"/>
    </row>
    <row r="22" spans="1:22" customFormat="1" ht="15" hidden="1" x14ac:dyDescent="0.25">
      <c r="A22" s="67">
        <v>1</v>
      </c>
      <c r="B22" s="67" t="s">
        <v>70</v>
      </c>
      <c r="C22" s="66">
        <v>24</v>
      </c>
      <c r="D22" s="66">
        <v>2403109</v>
      </c>
      <c r="E22" s="66" t="s">
        <v>202</v>
      </c>
      <c r="F22" s="66" t="s">
        <v>81</v>
      </c>
      <c r="G22" s="65" t="s">
        <v>211</v>
      </c>
      <c r="H22" s="64"/>
      <c r="I22" s="63">
        <v>350000</v>
      </c>
      <c r="J22" s="64"/>
      <c r="K22" s="63"/>
      <c r="L22" s="63">
        <f t="shared" si="5"/>
        <v>350000</v>
      </c>
      <c r="M22" s="62"/>
      <c r="N22" s="62">
        <v>50000</v>
      </c>
      <c r="O22" s="62">
        <v>50000</v>
      </c>
      <c r="P22" s="62">
        <v>50000</v>
      </c>
      <c r="Q22" s="62">
        <v>50000</v>
      </c>
      <c r="R22" s="62">
        <v>150000</v>
      </c>
      <c r="S22" s="61">
        <f t="shared" si="1"/>
        <v>350000</v>
      </c>
      <c r="T22" s="61">
        <f t="shared" si="6"/>
        <v>0</v>
      </c>
      <c r="U22" s="61"/>
    </row>
    <row r="23" spans="1:22" customFormat="1" ht="15" hidden="1" x14ac:dyDescent="0.25">
      <c r="A23" s="67">
        <v>1</v>
      </c>
      <c r="B23" s="67" t="s">
        <v>70</v>
      </c>
      <c r="C23" s="66">
        <v>24</v>
      </c>
      <c r="D23" s="66">
        <v>2403109</v>
      </c>
      <c r="E23" s="66" t="s">
        <v>202</v>
      </c>
      <c r="F23" s="66" t="s">
        <v>81</v>
      </c>
      <c r="G23" s="65" t="s">
        <v>210</v>
      </c>
      <c r="H23" s="64"/>
      <c r="I23" s="63">
        <v>3000000</v>
      </c>
      <c r="J23" s="64"/>
      <c r="K23" s="63">
        <v>784500</v>
      </c>
      <c r="L23" s="63">
        <f t="shared" si="5"/>
        <v>2215500</v>
      </c>
      <c r="M23" s="62"/>
      <c r="N23" s="62">
        <v>150000</v>
      </c>
      <c r="O23" s="62">
        <v>250000</v>
      </c>
      <c r="P23" s="62">
        <v>250000</v>
      </c>
      <c r="Q23" s="62">
        <v>250000</v>
      </c>
      <c r="R23" s="62">
        <v>1315500</v>
      </c>
      <c r="S23" s="61">
        <f t="shared" si="1"/>
        <v>3000000</v>
      </c>
      <c r="T23" s="61">
        <f t="shared" si="6"/>
        <v>0</v>
      </c>
      <c r="U23" s="61"/>
    </row>
    <row r="24" spans="1:22" customFormat="1" ht="15" hidden="1" x14ac:dyDescent="0.25">
      <c r="A24" s="67">
        <v>1</v>
      </c>
      <c r="B24" s="67" t="s">
        <v>70</v>
      </c>
      <c r="C24" s="66">
        <v>24</v>
      </c>
      <c r="D24" s="66">
        <v>2403109</v>
      </c>
      <c r="E24" s="66" t="s">
        <v>202</v>
      </c>
      <c r="F24" s="66" t="s">
        <v>81</v>
      </c>
      <c r="G24" s="65" t="s">
        <v>108</v>
      </c>
      <c r="H24" s="64"/>
      <c r="I24" s="63">
        <v>645860</v>
      </c>
      <c r="J24" s="64"/>
      <c r="K24" s="63">
        <v>8107</v>
      </c>
      <c r="L24" s="63">
        <f t="shared" si="5"/>
        <v>637753</v>
      </c>
      <c r="M24" s="62">
        <f>64586+56479</f>
        <v>121065</v>
      </c>
      <c r="N24" s="62">
        <f>64586</f>
        <v>64586</v>
      </c>
      <c r="O24" s="62">
        <f>64586</f>
        <v>64586</v>
      </c>
      <c r="P24" s="62">
        <f>64586</f>
        <v>64586</v>
      </c>
      <c r="Q24" s="62">
        <f>64586</f>
        <v>64586</v>
      </c>
      <c r="R24" s="62">
        <v>258344</v>
      </c>
      <c r="S24" s="61">
        <f t="shared" si="1"/>
        <v>645860</v>
      </c>
      <c r="T24" s="61">
        <f t="shared" si="6"/>
        <v>0</v>
      </c>
      <c r="U24" s="61"/>
    </row>
    <row r="25" spans="1:22" customFormat="1" ht="15" hidden="1" x14ac:dyDescent="0.25">
      <c r="A25" s="67">
        <v>1</v>
      </c>
      <c r="B25" s="67" t="s">
        <v>70</v>
      </c>
      <c r="C25" s="66">
        <v>24</v>
      </c>
      <c r="D25" s="66">
        <v>2403109</v>
      </c>
      <c r="E25" s="66" t="s">
        <v>202</v>
      </c>
      <c r="F25" s="66" t="s">
        <v>81</v>
      </c>
      <c r="G25" s="65" t="s">
        <v>67</v>
      </c>
      <c r="H25" s="64"/>
      <c r="I25" s="63"/>
      <c r="J25" s="63"/>
      <c r="K25" s="63"/>
      <c r="L25" s="63">
        <f t="shared" si="5"/>
        <v>0</v>
      </c>
      <c r="M25" s="62"/>
      <c r="N25" s="74"/>
      <c r="O25" s="62"/>
      <c r="P25" s="62"/>
      <c r="Q25" s="68">
        <f>J18</f>
        <v>4268416</v>
      </c>
      <c r="R25" s="62"/>
      <c r="S25" s="61">
        <f t="shared" si="1"/>
        <v>4268416</v>
      </c>
      <c r="T25" s="61">
        <f t="shared" si="6"/>
        <v>-4268416</v>
      </c>
      <c r="U25" s="61"/>
    </row>
    <row r="26" spans="1:22" s="54" customFormat="1" ht="38.25" hidden="1" x14ac:dyDescent="0.2">
      <c r="A26" s="60">
        <v>1</v>
      </c>
      <c r="B26" s="60" t="s">
        <v>66</v>
      </c>
      <c r="C26" s="59">
        <v>24</v>
      </c>
      <c r="D26" s="59">
        <v>24</v>
      </c>
      <c r="E26" s="59" t="s">
        <v>202</v>
      </c>
      <c r="F26" s="71" t="s">
        <v>78</v>
      </c>
      <c r="G26" s="59" t="s">
        <v>79</v>
      </c>
      <c r="H26" s="58">
        <v>20000000</v>
      </c>
      <c r="I26" s="58">
        <v>0</v>
      </c>
      <c r="J26" s="58">
        <v>20000000</v>
      </c>
      <c r="K26" s="58">
        <v>0</v>
      </c>
      <c r="L26" s="58">
        <v>0</v>
      </c>
      <c r="M26" s="58">
        <f t="shared" ref="M26:R26" si="7">SUM(M27:M27)</f>
        <v>0</v>
      </c>
      <c r="N26" s="58">
        <f t="shared" si="7"/>
        <v>0</v>
      </c>
      <c r="O26" s="58">
        <f t="shared" si="7"/>
        <v>0</v>
      </c>
      <c r="P26" s="58">
        <f t="shared" si="7"/>
        <v>0</v>
      </c>
      <c r="Q26" s="58">
        <f t="shared" si="7"/>
        <v>20000000</v>
      </c>
      <c r="R26" s="58">
        <f t="shared" si="7"/>
        <v>0</v>
      </c>
      <c r="S26" s="57">
        <f t="shared" si="1"/>
        <v>20000000</v>
      </c>
      <c r="T26" s="57">
        <f>H26-S26</f>
        <v>0</v>
      </c>
      <c r="U26" s="57"/>
    </row>
    <row r="27" spans="1:22" customFormat="1" ht="22.5" hidden="1" x14ac:dyDescent="0.25">
      <c r="A27" s="67">
        <v>1</v>
      </c>
      <c r="B27" s="67" t="s">
        <v>70</v>
      </c>
      <c r="C27" s="66">
        <v>24</v>
      </c>
      <c r="D27" s="66">
        <v>2403109</v>
      </c>
      <c r="E27" s="66" t="s">
        <v>202</v>
      </c>
      <c r="F27" s="65" t="s">
        <v>78</v>
      </c>
      <c r="G27" s="65" t="s">
        <v>67</v>
      </c>
      <c r="H27" s="64"/>
      <c r="I27" s="63"/>
      <c r="J27" s="64"/>
      <c r="K27" s="63"/>
      <c r="L27" s="63">
        <f>I27-K27</f>
        <v>0</v>
      </c>
      <c r="M27" s="62"/>
      <c r="N27" s="74"/>
      <c r="O27" s="62"/>
      <c r="P27" s="62"/>
      <c r="Q27" s="68">
        <v>20000000</v>
      </c>
      <c r="R27" s="62"/>
      <c r="S27" s="61">
        <f t="shared" si="1"/>
        <v>20000000</v>
      </c>
      <c r="T27" s="61">
        <f>I27-S27</f>
        <v>-20000000</v>
      </c>
      <c r="U27" s="61"/>
    </row>
    <row r="28" spans="1:22" s="54" customFormat="1" hidden="1" x14ac:dyDescent="0.2">
      <c r="A28" s="60">
        <v>1</v>
      </c>
      <c r="B28" s="60" t="s">
        <v>66</v>
      </c>
      <c r="C28" s="59">
        <v>24</v>
      </c>
      <c r="D28" s="59">
        <v>24</v>
      </c>
      <c r="E28" s="59" t="s">
        <v>202</v>
      </c>
      <c r="F28" s="59" t="s">
        <v>65</v>
      </c>
      <c r="G28" s="59" t="s">
        <v>64</v>
      </c>
      <c r="H28" s="58">
        <v>3177136328</v>
      </c>
      <c r="I28" s="58">
        <v>3040000000</v>
      </c>
      <c r="J28" s="58">
        <v>137136328</v>
      </c>
      <c r="K28" s="58">
        <v>2760000000</v>
      </c>
      <c r="L28" s="58">
        <v>280000000</v>
      </c>
      <c r="M28" s="58">
        <f t="shared" ref="M28:R28" si="8">SUM(M29:M37)</f>
        <v>80000000</v>
      </c>
      <c r="N28" s="58">
        <f t="shared" si="8"/>
        <v>120000000</v>
      </c>
      <c r="O28" s="58">
        <f t="shared" si="8"/>
        <v>80000000</v>
      </c>
      <c r="P28" s="58">
        <f t="shared" si="8"/>
        <v>137136328</v>
      </c>
      <c r="Q28" s="58">
        <f t="shared" si="8"/>
        <v>0</v>
      </c>
      <c r="R28" s="58">
        <f t="shared" si="8"/>
        <v>0</v>
      </c>
      <c r="S28" s="57">
        <f t="shared" si="1"/>
        <v>3177136328</v>
      </c>
      <c r="T28" s="57">
        <f>H28-S28</f>
        <v>0</v>
      </c>
      <c r="U28" s="57"/>
    </row>
    <row r="29" spans="1:22" customFormat="1" ht="15" hidden="1" x14ac:dyDescent="0.25">
      <c r="A29" s="67">
        <v>1</v>
      </c>
      <c r="B29" s="67" t="s">
        <v>70</v>
      </c>
      <c r="C29" s="66">
        <v>24</v>
      </c>
      <c r="D29" s="66">
        <v>2403109</v>
      </c>
      <c r="E29" s="66" t="s">
        <v>202</v>
      </c>
      <c r="F29" s="66" t="s">
        <v>65</v>
      </c>
      <c r="G29" s="65" t="s">
        <v>165</v>
      </c>
      <c r="H29" s="64"/>
      <c r="I29" s="63">
        <v>2760000000</v>
      </c>
      <c r="J29" s="64"/>
      <c r="K29" s="63">
        <v>2760000000</v>
      </c>
      <c r="L29" s="63">
        <f t="shared" ref="L29:L37" si="9">I29-K29</f>
        <v>0</v>
      </c>
      <c r="M29" s="62"/>
      <c r="N29" s="62"/>
      <c r="O29" s="62"/>
      <c r="P29" s="62"/>
      <c r="Q29" s="62"/>
      <c r="R29" s="62"/>
      <c r="S29" s="61">
        <f t="shared" si="1"/>
        <v>2760000000</v>
      </c>
      <c r="T29" s="61">
        <f t="shared" ref="T29:T37" si="10">I29-S29</f>
        <v>0</v>
      </c>
      <c r="U29" s="61" t="s">
        <v>73</v>
      </c>
    </row>
    <row r="30" spans="1:22" customFormat="1" ht="24.75" hidden="1" customHeight="1" x14ac:dyDescent="0.25">
      <c r="A30" s="67">
        <v>1</v>
      </c>
      <c r="B30" s="67" t="s">
        <v>70</v>
      </c>
      <c r="C30" s="66">
        <v>24</v>
      </c>
      <c r="D30" s="66">
        <v>2403109</v>
      </c>
      <c r="E30" s="66" t="s">
        <v>202</v>
      </c>
      <c r="F30" s="66" t="s">
        <v>65</v>
      </c>
      <c r="G30" s="65" t="s">
        <v>209</v>
      </c>
      <c r="H30" s="64"/>
      <c r="I30" s="63">
        <v>40000000</v>
      </c>
      <c r="J30" s="64"/>
      <c r="K30" s="63"/>
      <c r="L30" s="63">
        <f t="shared" si="9"/>
        <v>40000000</v>
      </c>
      <c r="M30" s="74"/>
      <c r="N30" s="62">
        <v>40000000</v>
      </c>
      <c r="O30" s="62"/>
      <c r="P30" s="62"/>
      <c r="Q30" s="62"/>
      <c r="R30" s="62"/>
      <c r="S30" s="61">
        <f t="shared" si="1"/>
        <v>40000000</v>
      </c>
      <c r="T30" s="61">
        <f t="shared" si="10"/>
        <v>0</v>
      </c>
      <c r="U30" s="61"/>
    </row>
    <row r="31" spans="1:22" customFormat="1" ht="24.75" hidden="1" customHeight="1" x14ac:dyDescent="0.25">
      <c r="A31" s="67">
        <v>1</v>
      </c>
      <c r="B31" s="67" t="s">
        <v>70</v>
      </c>
      <c r="C31" s="66">
        <v>24</v>
      </c>
      <c r="D31" s="66">
        <v>2403109</v>
      </c>
      <c r="E31" s="66" t="s">
        <v>202</v>
      </c>
      <c r="F31" s="66" t="s">
        <v>65</v>
      </c>
      <c r="G31" s="65" t="s">
        <v>208</v>
      </c>
      <c r="H31" s="64"/>
      <c r="I31" s="63">
        <v>40000000</v>
      </c>
      <c r="J31" s="64"/>
      <c r="K31" s="63"/>
      <c r="L31" s="63">
        <f t="shared" si="9"/>
        <v>40000000</v>
      </c>
      <c r="M31" s="62">
        <v>40000000</v>
      </c>
      <c r="N31" s="74"/>
      <c r="O31" s="62"/>
      <c r="P31" s="62"/>
      <c r="Q31" s="62"/>
      <c r="R31" s="62"/>
      <c r="S31" s="61">
        <f t="shared" si="1"/>
        <v>40000000</v>
      </c>
      <c r="T31" s="61">
        <f t="shared" si="10"/>
        <v>0</v>
      </c>
      <c r="U31" s="61"/>
    </row>
    <row r="32" spans="1:22" customFormat="1" ht="24.75" hidden="1" customHeight="1" x14ac:dyDescent="0.25">
      <c r="A32" s="67">
        <v>1</v>
      </c>
      <c r="B32" s="67" t="s">
        <v>70</v>
      </c>
      <c r="C32" s="66">
        <v>24</v>
      </c>
      <c r="D32" s="66">
        <v>2403109</v>
      </c>
      <c r="E32" s="66" t="s">
        <v>202</v>
      </c>
      <c r="F32" s="66" t="s">
        <v>65</v>
      </c>
      <c r="G32" s="65" t="s">
        <v>207</v>
      </c>
      <c r="H32" s="64"/>
      <c r="I32" s="63">
        <v>40000000</v>
      </c>
      <c r="J32" s="64"/>
      <c r="K32" s="63"/>
      <c r="L32" s="63">
        <f t="shared" si="9"/>
        <v>40000000</v>
      </c>
      <c r="M32" s="74"/>
      <c r="N32" s="74"/>
      <c r="O32" s="62">
        <v>40000000</v>
      </c>
      <c r="P32" s="62"/>
      <c r="Q32" s="62"/>
      <c r="R32" s="62"/>
      <c r="S32" s="61">
        <f t="shared" si="1"/>
        <v>40000000</v>
      </c>
      <c r="T32" s="61">
        <f t="shared" si="10"/>
        <v>0</v>
      </c>
      <c r="U32" s="61"/>
    </row>
    <row r="33" spans="1:21" customFormat="1" ht="24.75" hidden="1" customHeight="1" x14ac:dyDescent="0.25">
      <c r="A33" s="67">
        <v>1</v>
      </c>
      <c r="B33" s="67" t="s">
        <v>70</v>
      </c>
      <c r="C33" s="66">
        <v>24</v>
      </c>
      <c r="D33" s="66">
        <v>2403109</v>
      </c>
      <c r="E33" s="66" t="s">
        <v>202</v>
      </c>
      <c r="F33" s="66" t="s">
        <v>65</v>
      </c>
      <c r="G33" s="65" t="s">
        <v>206</v>
      </c>
      <c r="H33" s="64"/>
      <c r="I33" s="63">
        <v>40000000</v>
      </c>
      <c r="J33" s="64"/>
      <c r="K33" s="63"/>
      <c r="L33" s="63">
        <f t="shared" si="9"/>
        <v>40000000</v>
      </c>
      <c r="M33" s="62"/>
      <c r="N33" s="74"/>
      <c r="O33" s="62">
        <v>40000000</v>
      </c>
      <c r="P33" s="62"/>
      <c r="Q33" s="62"/>
      <c r="R33" s="62"/>
      <c r="S33" s="61">
        <f t="shared" si="1"/>
        <v>40000000</v>
      </c>
      <c r="T33" s="61">
        <f t="shared" si="10"/>
        <v>0</v>
      </c>
      <c r="U33" s="61"/>
    </row>
    <row r="34" spans="1:21" customFormat="1" ht="24.75" hidden="1" customHeight="1" x14ac:dyDescent="0.25">
      <c r="A34" s="67">
        <v>1</v>
      </c>
      <c r="B34" s="67" t="s">
        <v>70</v>
      </c>
      <c r="C34" s="66">
        <v>24</v>
      </c>
      <c r="D34" s="66">
        <v>2403109</v>
      </c>
      <c r="E34" s="66" t="s">
        <v>202</v>
      </c>
      <c r="F34" s="66" t="s">
        <v>65</v>
      </c>
      <c r="G34" s="65" t="s">
        <v>205</v>
      </c>
      <c r="H34" s="64"/>
      <c r="I34" s="63">
        <v>40000000</v>
      </c>
      <c r="J34" s="64"/>
      <c r="K34" s="63"/>
      <c r="L34" s="63">
        <f t="shared" si="9"/>
        <v>40000000</v>
      </c>
      <c r="M34" s="62">
        <v>40000000</v>
      </c>
      <c r="N34" s="74"/>
      <c r="O34" s="62"/>
      <c r="P34" s="62"/>
      <c r="Q34" s="62"/>
      <c r="R34" s="62"/>
      <c r="S34" s="61">
        <f t="shared" si="1"/>
        <v>40000000</v>
      </c>
      <c r="T34" s="61">
        <f t="shared" si="10"/>
        <v>0</v>
      </c>
      <c r="U34" s="61"/>
    </row>
    <row r="35" spans="1:21" customFormat="1" ht="24.75" hidden="1" customHeight="1" x14ac:dyDescent="0.25">
      <c r="A35" s="67">
        <v>1</v>
      </c>
      <c r="B35" s="67" t="s">
        <v>70</v>
      </c>
      <c r="C35" s="66">
        <v>24</v>
      </c>
      <c r="D35" s="66">
        <v>2403109</v>
      </c>
      <c r="E35" s="66" t="s">
        <v>202</v>
      </c>
      <c r="F35" s="66" t="s">
        <v>65</v>
      </c>
      <c r="G35" s="65" t="s">
        <v>204</v>
      </c>
      <c r="H35" s="64"/>
      <c r="I35" s="63">
        <v>40000000</v>
      </c>
      <c r="J35" s="64"/>
      <c r="K35" s="63"/>
      <c r="L35" s="63">
        <f t="shared" si="9"/>
        <v>40000000</v>
      </c>
      <c r="M35" s="74"/>
      <c r="N35" s="62">
        <v>40000000</v>
      </c>
      <c r="O35" s="62"/>
      <c r="P35" s="62"/>
      <c r="Q35" s="62"/>
      <c r="R35" s="62"/>
      <c r="S35" s="61">
        <f t="shared" ref="S35:S66" si="11">SUM(K35:R35)-L35</f>
        <v>40000000</v>
      </c>
      <c r="T35" s="61">
        <f t="shared" si="10"/>
        <v>0</v>
      </c>
      <c r="U35" s="61"/>
    </row>
    <row r="36" spans="1:21" customFormat="1" ht="24.75" hidden="1" customHeight="1" x14ac:dyDescent="0.25">
      <c r="A36" s="67">
        <v>1</v>
      </c>
      <c r="B36" s="67" t="s">
        <v>70</v>
      </c>
      <c r="C36" s="66">
        <v>24</v>
      </c>
      <c r="D36" s="66">
        <v>2403109</v>
      </c>
      <c r="E36" s="66" t="s">
        <v>202</v>
      </c>
      <c r="F36" s="66" t="s">
        <v>65</v>
      </c>
      <c r="G36" s="65" t="s">
        <v>203</v>
      </c>
      <c r="H36" s="64"/>
      <c r="I36" s="63">
        <v>40000000</v>
      </c>
      <c r="J36" s="64"/>
      <c r="K36" s="63"/>
      <c r="L36" s="63">
        <f t="shared" si="9"/>
        <v>40000000</v>
      </c>
      <c r="M36" s="74"/>
      <c r="N36" s="62">
        <v>40000000</v>
      </c>
      <c r="O36" s="62"/>
      <c r="P36" s="62"/>
      <c r="Q36" s="62"/>
      <c r="R36" s="62"/>
      <c r="S36" s="61">
        <f t="shared" si="11"/>
        <v>40000000</v>
      </c>
      <c r="T36" s="61">
        <f t="shared" si="10"/>
        <v>0</v>
      </c>
      <c r="U36" s="61"/>
    </row>
    <row r="37" spans="1:21" customFormat="1" ht="15" hidden="1" x14ac:dyDescent="0.25">
      <c r="A37" s="67">
        <v>1</v>
      </c>
      <c r="B37" s="67" t="s">
        <v>70</v>
      </c>
      <c r="C37" s="66">
        <v>24</v>
      </c>
      <c r="D37" s="66">
        <v>2403109</v>
      </c>
      <c r="E37" s="66" t="s">
        <v>202</v>
      </c>
      <c r="F37" s="66" t="s">
        <v>65</v>
      </c>
      <c r="G37" s="65" t="s">
        <v>67</v>
      </c>
      <c r="H37" s="64"/>
      <c r="I37" s="63"/>
      <c r="J37" s="64"/>
      <c r="K37" s="63"/>
      <c r="L37" s="63">
        <f t="shared" si="9"/>
        <v>0</v>
      </c>
      <c r="M37" s="62"/>
      <c r="N37" s="62"/>
      <c r="O37" s="74"/>
      <c r="P37" s="68">
        <f>J28</f>
        <v>137136328</v>
      </c>
      <c r="Q37" s="62"/>
      <c r="R37" s="62"/>
      <c r="S37" s="61">
        <f t="shared" si="11"/>
        <v>137136328</v>
      </c>
      <c r="T37" s="61">
        <f t="shared" si="10"/>
        <v>-137136328</v>
      </c>
      <c r="U37" s="61"/>
    </row>
    <row r="38" spans="1:21" s="54" customFormat="1" ht="25.5" hidden="1" x14ac:dyDescent="0.2">
      <c r="A38" s="60">
        <v>1</v>
      </c>
      <c r="B38" s="60" t="s">
        <v>66</v>
      </c>
      <c r="C38" s="59">
        <v>24</v>
      </c>
      <c r="D38" s="59">
        <v>24</v>
      </c>
      <c r="E38" s="59" t="s">
        <v>202</v>
      </c>
      <c r="F38" s="71" t="s">
        <v>92</v>
      </c>
      <c r="G38" s="59" t="s">
        <v>95</v>
      </c>
      <c r="H38" s="58">
        <v>800000</v>
      </c>
      <c r="I38" s="58">
        <v>0</v>
      </c>
      <c r="J38" s="58">
        <v>800000</v>
      </c>
      <c r="K38" s="58">
        <v>0</v>
      </c>
      <c r="L38" s="58">
        <v>0</v>
      </c>
      <c r="M38" s="58">
        <f t="shared" ref="M38:R38" si="12">SUM(M39:M39)</f>
        <v>0</v>
      </c>
      <c r="N38" s="58">
        <f t="shared" si="12"/>
        <v>0</v>
      </c>
      <c r="O38" s="58">
        <f t="shared" si="12"/>
        <v>0</v>
      </c>
      <c r="P38" s="58">
        <f t="shared" si="12"/>
        <v>800000</v>
      </c>
      <c r="Q38" s="58">
        <f t="shared" si="12"/>
        <v>0</v>
      </c>
      <c r="R38" s="58">
        <f t="shared" si="12"/>
        <v>0</v>
      </c>
      <c r="S38" s="57">
        <f t="shared" si="11"/>
        <v>800000</v>
      </c>
      <c r="T38" s="57">
        <f>H38-S38</f>
        <v>0</v>
      </c>
      <c r="U38" s="57"/>
    </row>
    <row r="39" spans="1:21" customFormat="1" ht="15" hidden="1" x14ac:dyDescent="0.25">
      <c r="A39" s="67">
        <v>1</v>
      </c>
      <c r="B39" s="67" t="s">
        <v>70</v>
      </c>
      <c r="C39" s="66">
        <v>24</v>
      </c>
      <c r="D39" s="66">
        <v>2403109</v>
      </c>
      <c r="E39" s="66" t="s">
        <v>202</v>
      </c>
      <c r="F39" s="66" t="s">
        <v>92</v>
      </c>
      <c r="G39" s="65" t="s">
        <v>201</v>
      </c>
      <c r="H39" s="64"/>
      <c r="I39" s="63"/>
      <c r="J39" s="64"/>
      <c r="K39" s="63"/>
      <c r="L39" s="63">
        <f>I39-K39</f>
        <v>0</v>
      </c>
      <c r="M39" s="74"/>
      <c r="N39" s="74"/>
      <c r="O39" s="62"/>
      <c r="P39" s="68">
        <v>800000</v>
      </c>
      <c r="Q39" s="62"/>
      <c r="R39" s="62"/>
      <c r="S39" s="61">
        <f t="shared" si="11"/>
        <v>800000</v>
      </c>
      <c r="T39" s="61">
        <f>I39-S39</f>
        <v>-800000</v>
      </c>
      <c r="U39" s="61"/>
    </row>
    <row r="40" spans="1:21" s="54" customFormat="1" hidden="1" x14ac:dyDescent="0.2">
      <c r="A40" s="60">
        <v>1</v>
      </c>
      <c r="B40" s="60" t="s">
        <v>66</v>
      </c>
      <c r="C40" s="59">
        <v>24</v>
      </c>
      <c r="D40" s="59">
        <v>24</v>
      </c>
      <c r="E40" s="59" t="s">
        <v>179</v>
      </c>
      <c r="F40" s="59" t="s">
        <v>90</v>
      </c>
      <c r="G40" s="59" t="s">
        <v>200</v>
      </c>
      <c r="H40" s="58">
        <v>189186000</v>
      </c>
      <c r="I40" s="58">
        <v>175985991</v>
      </c>
      <c r="J40" s="58">
        <v>13200009</v>
      </c>
      <c r="K40" s="58">
        <v>92826327</v>
      </c>
      <c r="L40" s="58">
        <v>83159664</v>
      </c>
      <c r="M40" s="58">
        <v>13859944</v>
      </c>
      <c r="N40" s="58">
        <v>13859944</v>
      </c>
      <c r="O40" s="58">
        <v>13859944</v>
      </c>
      <c r="P40" s="58">
        <v>13859944</v>
      </c>
      <c r="Q40" s="58">
        <v>13859944</v>
      </c>
      <c r="R40" s="58">
        <v>13859944</v>
      </c>
      <c r="S40" s="57">
        <f t="shared" si="11"/>
        <v>175985991</v>
      </c>
      <c r="T40" s="57">
        <f>H40-S40</f>
        <v>13200009</v>
      </c>
      <c r="U40" s="57"/>
    </row>
    <row r="41" spans="1:21" s="54" customFormat="1" hidden="1" x14ac:dyDescent="0.2">
      <c r="A41" s="60">
        <v>1</v>
      </c>
      <c r="B41" s="60" t="s">
        <v>66</v>
      </c>
      <c r="C41" s="59">
        <v>24</v>
      </c>
      <c r="D41" s="59">
        <v>24</v>
      </c>
      <c r="E41" s="59" t="s">
        <v>179</v>
      </c>
      <c r="F41" s="59" t="s">
        <v>88</v>
      </c>
      <c r="G41" s="59" t="s">
        <v>87</v>
      </c>
      <c r="H41" s="58">
        <v>6748000</v>
      </c>
      <c r="I41" s="58">
        <v>841357</v>
      </c>
      <c r="J41" s="58">
        <v>5906643</v>
      </c>
      <c r="K41" s="58">
        <v>841357</v>
      </c>
      <c r="L41" s="58">
        <v>0</v>
      </c>
      <c r="M41" s="58"/>
      <c r="N41" s="58">
        <v>200000</v>
      </c>
      <c r="O41" s="58">
        <v>350000</v>
      </c>
      <c r="P41" s="58">
        <v>1000000</v>
      </c>
      <c r="Q41" s="58">
        <v>1000000</v>
      </c>
      <c r="R41" s="58">
        <v>1000000</v>
      </c>
      <c r="S41" s="57">
        <f t="shared" si="11"/>
        <v>4391357</v>
      </c>
      <c r="T41" s="57">
        <f>H41-S41</f>
        <v>2356643</v>
      </c>
      <c r="U41" s="57"/>
    </row>
    <row r="42" spans="1:21" s="54" customFormat="1" ht="25.5" hidden="1" x14ac:dyDescent="0.2">
      <c r="A42" s="60">
        <v>1</v>
      </c>
      <c r="B42" s="60" t="s">
        <v>66</v>
      </c>
      <c r="C42" s="59">
        <v>24</v>
      </c>
      <c r="D42" s="59">
        <v>24</v>
      </c>
      <c r="E42" s="59" t="s">
        <v>179</v>
      </c>
      <c r="F42" s="71" t="s">
        <v>81</v>
      </c>
      <c r="G42" s="59" t="s">
        <v>86</v>
      </c>
      <c r="H42" s="58">
        <v>3309273399</v>
      </c>
      <c r="I42" s="58">
        <v>2777216035</v>
      </c>
      <c r="J42" s="58">
        <v>532057364</v>
      </c>
      <c r="K42" s="58">
        <v>26211945</v>
      </c>
      <c r="L42" s="58">
        <v>2751004090</v>
      </c>
      <c r="M42" s="58">
        <f t="shared" ref="M42:R42" si="13">SUM(M43:M59)</f>
        <v>67304044</v>
      </c>
      <c r="N42" s="58">
        <f t="shared" si="13"/>
        <v>370000</v>
      </c>
      <c r="O42" s="58">
        <f t="shared" si="13"/>
        <v>1332272000</v>
      </c>
      <c r="P42" s="58">
        <f t="shared" si="13"/>
        <v>1390723785</v>
      </c>
      <c r="Q42" s="58">
        <f t="shared" si="13"/>
        <v>24807000</v>
      </c>
      <c r="R42" s="58">
        <f t="shared" si="13"/>
        <v>467584625</v>
      </c>
      <c r="S42" s="58">
        <f t="shared" si="11"/>
        <v>3309273399</v>
      </c>
      <c r="T42" s="58">
        <f>H42-S42</f>
        <v>0</v>
      </c>
      <c r="U42" s="57"/>
    </row>
    <row r="43" spans="1:21" customFormat="1" ht="45" hidden="1" x14ac:dyDescent="0.25">
      <c r="A43" s="67">
        <v>1</v>
      </c>
      <c r="B43" s="67" t="s">
        <v>70</v>
      </c>
      <c r="C43" s="66">
        <v>24</v>
      </c>
      <c r="D43" s="66">
        <v>2403112</v>
      </c>
      <c r="E43" s="66" t="s">
        <v>179</v>
      </c>
      <c r="F43" s="66" t="s">
        <v>81</v>
      </c>
      <c r="G43" s="65" t="s">
        <v>199</v>
      </c>
      <c r="H43" s="64"/>
      <c r="I43" s="63">
        <v>104958</v>
      </c>
      <c r="J43" s="64"/>
      <c r="K43" s="63">
        <v>104958</v>
      </c>
      <c r="L43" s="63">
        <f t="shared" ref="L43:L59" si="14">I43-K43</f>
        <v>0</v>
      </c>
      <c r="M43" s="62"/>
      <c r="N43" s="62"/>
      <c r="O43" s="62"/>
      <c r="P43" s="62"/>
      <c r="Q43" s="62"/>
      <c r="R43" s="62"/>
      <c r="S43" s="61">
        <f t="shared" si="11"/>
        <v>104958</v>
      </c>
      <c r="T43" s="61">
        <f t="shared" ref="T43:T59" si="15">I43-S43</f>
        <v>0</v>
      </c>
      <c r="U43" s="61" t="s">
        <v>73</v>
      </c>
    </row>
    <row r="44" spans="1:21" customFormat="1" ht="22.5" hidden="1" x14ac:dyDescent="0.25">
      <c r="A44" s="67">
        <v>1</v>
      </c>
      <c r="B44" s="67" t="s">
        <v>70</v>
      </c>
      <c r="C44" s="66">
        <v>24</v>
      </c>
      <c r="D44" s="66">
        <v>2403112</v>
      </c>
      <c r="E44" s="66" t="s">
        <v>179</v>
      </c>
      <c r="F44" s="66" t="s">
        <v>81</v>
      </c>
      <c r="G44" s="65" t="s">
        <v>198</v>
      </c>
      <c r="H44" s="64"/>
      <c r="I44" s="63">
        <v>2000000</v>
      </c>
      <c r="J44" s="64"/>
      <c r="K44" s="63">
        <v>690893</v>
      </c>
      <c r="L44" s="63">
        <f t="shared" si="14"/>
        <v>1309107</v>
      </c>
      <c r="M44" s="62"/>
      <c r="N44" s="62">
        <v>160000</v>
      </c>
      <c r="O44" s="62">
        <v>160000</v>
      </c>
      <c r="P44" s="62">
        <v>160000</v>
      </c>
      <c r="Q44" s="62">
        <v>160000</v>
      </c>
      <c r="R44" s="62">
        <v>669107</v>
      </c>
      <c r="S44" s="61">
        <f t="shared" si="11"/>
        <v>2000000</v>
      </c>
      <c r="T44" s="61">
        <f t="shared" si="15"/>
        <v>0</v>
      </c>
      <c r="U44" s="61"/>
    </row>
    <row r="45" spans="1:21" customFormat="1" ht="22.5" hidden="1" x14ac:dyDescent="0.25">
      <c r="A45" s="67">
        <v>1</v>
      </c>
      <c r="B45" s="67" t="s">
        <v>70</v>
      </c>
      <c r="C45" s="66">
        <v>24</v>
      </c>
      <c r="D45" s="66">
        <v>2403112</v>
      </c>
      <c r="E45" s="66" t="s">
        <v>179</v>
      </c>
      <c r="F45" s="66" t="s">
        <v>81</v>
      </c>
      <c r="G45" s="65" t="s">
        <v>197</v>
      </c>
      <c r="H45" s="64"/>
      <c r="I45" s="63">
        <v>500000</v>
      </c>
      <c r="J45" s="64"/>
      <c r="K45" s="63"/>
      <c r="L45" s="63">
        <f t="shared" si="14"/>
        <v>500000</v>
      </c>
      <c r="M45" s="62"/>
      <c r="N45" s="62"/>
      <c r="O45" s="62">
        <v>120000</v>
      </c>
      <c r="P45" s="62"/>
      <c r="Q45" s="62">
        <v>140000</v>
      </c>
      <c r="R45" s="62">
        <v>240000</v>
      </c>
      <c r="S45" s="61">
        <f t="shared" si="11"/>
        <v>500000</v>
      </c>
      <c r="T45" s="61">
        <f t="shared" si="15"/>
        <v>0</v>
      </c>
      <c r="U45" s="61"/>
    </row>
    <row r="46" spans="1:21" customFormat="1" ht="15" hidden="1" x14ac:dyDescent="0.25">
      <c r="A46" s="67">
        <v>1</v>
      </c>
      <c r="B46" s="67" t="s">
        <v>70</v>
      </c>
      <c r="C46" s="66">
        <v>24</v>
      </c>
      <c r="D46" s="66">
        <v>2403112</v>
      </c>
      <c r="E46" s="66" t="s">
        <v>179</v>
      </c>
      <c r="F46" s="66" t="s">
        <v>81</v>
      </c>
      <c r="G46" s="65" t="s">
        <v>196</v>
      </c>
      <c r="H46" s="64"/>
      <c r="I46" s="63">
        <v>500000</v>
      </c>
      <c r="J46" s="64"/>
      <c r="K46" s="63"/>
      <c r="L46" s="63">
        <f t="shared" si="14"/>
        <v>500000</v>
      </c>
      <c r="M46" s="62"/>
      <c r="N46" s="62">
        <v>50000</v>
      </c>
      <c r="O46" s="62">
        <v>50000</v>
      </c>
      <c r="P46" s="62">
        <v>50000</v>
      </c>
      <c r="Q46" s="62">
        <v>50000</v>
      </c>
      <c r="R46" s="62">
        <v>300000</v>
      </c>
      <c r="S46" s="61">
        <f t="shared" si="11"/>
        <v>500000</v>
      </c>
      <c r="T46" s="61">
        <f t="shared" si="15"/>
        <v>0</v>
      </c>
      <c r="U46" s="61"/>
    </row>
    <row r="47" spans="1:21" customFormat="1" ht="15" hidden="1" x14ac:dyDescent="0.25">
      <c r="A47" s="67">
        <v>1</v>
      </c>
      <c r="B47" s="67" t="s">
        <v>70</v>
      </c>
      <c r="C47" s="66">
        <v>24</v>
      </c>
      <c r="D47" s="66">
        <v>2403112</v>
      </c>
      <c r="E47" s="66" t="s">
        <v>179</v>
      </c>
      <c r="F47" s="66" t="s">
        <v>81</v>
      </c>
      <c r="G47" s="65" t="s">
        <v>195</v>
      </c>
      <c r="H47" s="64"/>
      <c r="I47" s="63">
        <v>2000000</v>
      </c>
      <c r="J47" s="64"/>
      <c r="K47" s="63">
        <v>772050</v>
      </c>
      <c r="L47" s="63">
        <f t="shared" si="14"/>
        <v>1227950</v>
      </c>
      <c r="M47" s="62">
        <v>160000</v>
      </c>
      <c r="N47" s="62">
        <v>160000</v>
      </c>
      <c r="O47" s="62">
        <v>160000</v>
      </c>
      <c r="P47" s="62">
        <v>160000</v>
      </c>
      <c r="Q47" s="62">
        <v>160000</v>
      </c>
      <c r="R47" s="62">
        <v>427950</v>
      </c>
      <c r="S47" s="61">
        <f t="shared" si="11"/>
        <v>2000000</v>
      </c>
      <c r="T47" s="61">
        <f t="shared" si="15"/>
        <v>0</v>
      </c>
      <c r="U47" s="61"/>
    </row>
    <row r="48" spans="1:21" customFormat="1" ht="33.75" hidden="1" x14ac:dyDescent="0.25">
      <c r="A48" s="67">
        <v>1</v>
      </c>
      <c r="B48" s="67" t="s">
        <v>70</v>
      </c>
      <c r="C48" s="66">
        <v>24</v>
      </c>
      <c r="D48" s="66">
        <v>2403112</v>
      </c>
      <c r="E48" s="66" t="s">
        <v>179</v>
      </c>
      <c r="F48" s="66" t="s">
        <v>81</v>
      </c>
      <c r="G48" s="65" t="s">
        <v>194</v>
      </c>
      <c r="H48" s="64"/>
      <c r="I48" s="63">
        <v>122180457</v>
      </c>
      <c r="J48" s="64"/>
      <c r="K48" s="63">
        <v>24644044</v>
      </c>
      <c r="L48" s="63">
        <f t="shared" si="14"/>
        <v>97536413</v>
      </c>
      <c r="M48" s="62">
        <v>24644044</v>
      </c>
      <c r="N48" s="62"/>
      <c r="O48" s="62"/>
      <c r="P48" s="62">
        <v>24297000</v>
      </c>
      <c r="Q48" s="62">
        <v>24297000</v>
      </c>
      <c r="R48" s="62">
        <v>24298369</v>
      </c>
      <c r="S48" s="61">
        <f t="shared" si="11"/>
        <v>122180457</v>
      </c>
      <c r="T48" s="61">
        <f t="shared" si="15"/>
        <v>0</v>
      </c>
      <c r="U48" s="61"/>
    </row>
    <row r="49" spans="1:21" customFormat="1" ht="56.65" hidden="1" customHeight="1" x14ac:dyDescent="0.25">
      <c r="A49" s="67">
        <v>1</v>
      </c>
      <c r="B49" s="67" t="s">
        <v>70</v>
      </c>
      <c r="C49" s="66">
        <v>24</v>
      </c>
      <c r="D49" s="66">
        <v>2403112</v>
      </c>
      <c r="E49" s="66" t="s">
        <v>179</v>
      </c>
      <c r="F49" s="66" t="s">
        <v>81</v>
      </c>
      <c r="G49" s="84" t="s">
        <v>193</v>
      </c>
      <c r="H49" s="64"/>
      <c r="I49" s="63">
        <v>146851892</v>
      </c>
      <c r="J49" s="64"/>
      <c r="K49" s="63"/>
      <c r="L49" s="83">
        <f t="shared" si="14"/>
        <v>146851892</v>
      </c>
      <c r="M49" s="62"/>
      <c r="N49" s="62"/>
      <c r="O49" s="62"/>
      <c r="P49" s="53"/>
      <c r="Q49" s="62"/>
      <c r="R49" s="82">
        <v>146851892</v>
      </c>
      <c r="S49" s="61">
        <f t="shared" si="11"/>
        <v>146851892</v>
      </c>
      <c r="T49" s="61">
        <f t="shared" si="15"/>
        <v>0</v>
      </c>
      <c r="U49" s="61" t="s">
        <v>192</v>
      </c>
    </row>
    <row r="50" spans="1:21" customFormat="1" ht="54.4" hidden="1" customHeight="1" x14ac:dyDescent="0.25">
      <c r="A50" s="67">
        <v>1</v>
      </c>
      <c r="B50" s="67" t="s">
        <v>70</v>
      </c>
      <c r="C50" s="66">
        <v>24</v>
      </c>
      <c r="D50" s="66">
        <v>2403112</v>
      </c>
      <c r="E50" s="66" t="s">
        <v>179</v>
      </c>
      <c r="F50" s="66" t="s">
        <v>81</v>
      </c>
      <c r="G50" s="84" t="s">
        <v>191</v>
      </c>
      <c r="H50" s="64"/>
      <c r="I50" s="63">
        <v>171225225</v>
      </c>
      <c r="J50" s="64"/>
      <c r="K50" s="63"/>
      <c r="L50" s="83">
        <f t="shared" si="14"/>
        <v>171225225</v>
      </c>
      <c r="M50" s="82">
        <v>42500000</v>
      </c>
      <c r="N50" s="53"/>
      <c r="O50" s="62"/>
      <c r="P50" s="62">
        <f>171225225-42500000</f>
        <v>128725225</v>
      </c>
      <c r="Q50" s="62"/>
      <c r="R50" s="62"/>
      <c r="S50" s="61">
        <f t="shared" si="11"/>
        <v>171225225</v>
      </c>
      <c r="T50" s="61">
        <f t="shared" si="15"/>
        <v>0</v>
      </c>
      <c r="U50" s="61" t="s">
        <v>190</v>
      </c>
    </row>
    <row r="51" spans="1:21" customFormat="1" ht="42.6" hidden="1" customHeight="1" x14ac:dyDescent="0.25">
      <c r="A51" s="67">
        <v>1</v>
      </c>
      <c r="B51" s="67" t="s">
        <v>70</v>
      </c>
      <c r="C51" s="66">
        <v>24</v>
      </c>
      <c r="D51" s="66">
        <v>2403112</v>
      </c>
      <c r="E51" s="66" t="s">
        <v>179</v>
      </c>
      <c r="F51" s="66" t="s">
        <v>81</v>
      </c>
      <c r="G51" s="84" t="s">
        <v>189</v>
      </c>
      <c r="H51" s="64"/>
      <c r="I51" s="63">
        <v>294797307</v>
      </c>
      <c r="J51" s="64"/>
      <c r="K51" s="63"/>
      <c r="L51" s="83">
        <f t="shared" si="14"/>
        <v>294797307</v>
      </c>
      <c r="M51" s="62"/>
      <c r="N51" s="62"/>
      <c r="O51" s="62"/>
      <c r="P51" s="53"/>
      <c r="Q51" s="62"/>
      <c r="R51" s="82">
        <v>294797307</v>
      </c>
      <c r="S51" s="61">
        <f t="shared" si="11"/>
        <v>294797307</v>
      </c>
      <c r="T51" s="61">
        <f t="shared" si="15"/>
        <v>0</v>
      </c>
      <c r="U51" s="61" t="s">
        <v>188</v>
      </c>
    </row>
    <row r="52" spans="1:21" customFormat="1" ht="56.25" hidden="1" x14ac:dyDescent="0.25">
      <c r="A52" s="67">
        <v>1</v>
      </c>
      <c r="B52" s="67" t="s">
        <v>70</v>
      </c>
      <c r="C52" s="66">
        <v>24</v>
      </c>
      <c r="D52" s="66">
        <v>2403112</v>
      </c>
      <c r="E52" s="66" t="s">
        <v>179</v>
      </c>
      <c r="F52" s="66" t="s">
        <v>81</v>
      </c>
      <c r="G52" s="65" t="s">
        <v>187</v>
      </c>
      <c r="H52" s="64"/>
      <c r="I52" s="63">
        <v>207547417</v>
      </c>
      <c r="J52" s="64"/>
      <c r="K52" s="63"/>
      <c r="L52" s="63">
        <f t="shared" si="14"/>
        <v>207547417</v>
      </c>
      <c r="M52" s="62"/>
      <c r="N52" s="62"/>
      <c r="O52" s="62">
        <v>135689881.62911436</v>
      </c>
      <c r="P52" s="62">
        <v>71857535.370885625</v>
      </c>
      <c r="Q52" s="62"/>
      <c r="R52" s="62"/>
      <c r="S52" s="61">
        <f t="shared" si="11"/>
        <v>207547417</v>
      </c>
      <c r="T52" s="61">
        <f t="shared" si="15"/>
        <v>0</v>
      </c>
      <c r="U52" s="61"/>
    </row>
    <row r="53" spans="1:21" customFormat="1" ht="56.25" hidden="1" x14ac:dyDescent="0.25">
      <c r="A53" s="67">
        <v>1</v>
      </c>
      <c r="B53" s="67" t="s">
        <v>70</v>
      </c>
      <c r="C53" s="66">
        <v>24</v>
      </c>
      <c r="D53" s="66">
        <v>2403112</v>
      </c>
      <c r="E53" s="66" t="s">
        <v>179</v>
      </c>
      <c r="F53" s="66" t="s">
        <v>81</v>
      </c>
      <c r="G53" s="65" t="s">
        <v>186</v>
      </c>
      <c r="H53" s="64"/>
      <c r="I53" s="63">
        <v>165460334</v>
      </c>
      <c r="J53" s="64"/>
      <c r="K53" s="63"/>
      <c r="L53" s="63">
        <f t="shared" si="14"/>
        <v>165460334</v>
      </c>
      <c r="M53" s="62"/>
      <c r="N53" s="62"/>
      <c r="O53" s="62">
        <v>108174283.54106535</v>
      </c>
      <c r="P53" s="62">
        <v>57286050.458934642</v>
      </c>
      <c r="Q53" s="62"/>
      <c r="R53" s="62"/>
      <c r="S53" s="61">
        <f t="shared" si="11"/>
        <v>165460334</v>
      </c>
      <c r="T53" s="61">
        <f t="shared" si="15"/>
        <v>0</v>
      </c>
      <c r="U53" s="61"/>
    </row>
    <row r="54" spans="1:21" customFormat="1" ht="56.25" hidden="1" x14ac:dyDescent="0.25">
      <c r="A54" s="67">
        <v>1</v>
      </c>
      <c r="B54" s="67" t="s">
        <v>70</v>
      </c>
      <c r="C54" s="66">
        <v>24</v>
      </c>
      <c r="D54" s="66">
        <v>2403112</v>
      </c>
      <c r="E54" s="66" t="s">
        <v>179</v>
      </c>
      <c r="F54" s="66" t="s">
        <v>81</v>
      </c>
      <c r="G54" s="65" t="s">
        <v>185</v>
      </c>
      <c r="H54" s="64"/>
      <c r="I54" s="63">
        <v>176518327</v>
      </c>
      <c r="J54" s="64"/>
      <c r="K54" s="63"/>
      <c r="L54" s="63">
        <f t="shared" si="14"/>
        <v>176518327</v>
      </c>
      <c r="M54" s="62"/>
      <c r="N54" s="62"/>
      <c r="O54" s="62">
        <v>115403753.23485382</v>
      </c>
      <c r="P54" s="62">
        <v>61114573.765146188</v>
      </c>
      <c r="Q54" s="62"/>
      <c r="R54" s="62"/>
      <c r="S54" s="61">
        <f t="shared" si="11"/>
        <v>176518327</v>
      </c>
      <c r="T54" s="61">
        <f t="shared" si="15"/>
        <v>0</v>
      </c>
      <c r="U54" s="61"/>
    </row>
    <row r="55" spans="1:21" customFormat="1" ht="56.25" hidden="1" x14ac:dyDescent="0.25">
      <c r="A55" s="67">
        <v>1</v>
      </c>
      <c r="B55" s="67" t="s">
        <v>70</v>
      </c>
      <c r="C55" s="66">
        <v>24</v>
      </c>
      <c r="D55" s="66">
        <v>2403112</v>
      </c>
      <c r="E55" s="66" t="s">
        <v>179</v>
      </c>
      <c r="F55" s="66" t="s">
        <v>81</v>
      </c>
      <c r="G55" s="65" t="s">
        <v>184</v>
      </c>
      <c r="H55" s="64"/>
      <c r="I55" s="63">
        <v>637981574</v>
      </c>
      <c r="J55" s="64"/>
      <c r="K55" s="63"/>
      <c r="L55" s="63">
        <f t="shared" si="14"/>
        <v>637981574</v>
      </c>
      <c r="M55" s="62"/>
      <c r="N55" s="62"/>
      <c r="O55" s="62">
        <v>417098152.84097737</v>
      </c>
      <c r="P55" s="62">
        <v>220883421.1590226</v>
      </c>
      <c r="Q55" s="62"/>
      <c r="R55" s="62"/>
      <c r="S55" s="61">
        <f t="shared" si="11"/>
        <v>637981574</v>
      </c>
      <c r="T55" s="61">
        <f t="shared" si="15"/>
        <v>0</v>
      </c>
      <c r="U55" s="61"/>
    </row>
    <row r="56" spans="1:21" customFormat="1" ht="56.25" hidden="1" x14ac:dyDescent="0.25">
      <c r="A56" s="67">
        <v>1</v>
      </c>
      <c r="B56" s="67" t="s">
        <v>70</v>
      </c>
      <c r="C56" s="66">
        <v>24</v>
      </c>
      <c r="D56" s="66">
        <v>2403112</v>
      </c>
      <c r="E56" s="66" t="s">
        <v>179</v>
      </c>
      <c r="F56" s="66" t="s">
        <v>81</v>
      </c>
      <c r="G56" s="65" t="s">
        <v>183</v>
      </c>
      <c r="H56" s="64"/>
      <c r="I56" s="63">
        <v>283310922</v>
      </c>
      <c r="J56" s="64"/>
      <c r="K56" s="63"/>
      <c r="L56" s="63">
        <f t="shared" si="14"/>
        <v>283310922</v>
      </c>
      <c r="M56" s="62"/>
      <c r="N56" s="62"/>
      <c r="O56" s="62">
        <v>185222374.84851596</v>
      </c>
      <c r="P56" s="62">
        <v>98088547.151484042</v>
      </c>
      <c r="Q56" s="62"/>
      <c r="R56" s="62"/>
      <c r="S56" s="61">
        <f t="shared" si="11"/>
        <v>283310922</v>
      </c>
      <c r="T56" s="61">
        <f t="shared" si="15"/>
        <v>0</v>
      </c>
      <c r="U56" s="61"/>
    </row>
    <row r="57" spans="1:21" customFormat="1" ht="56.25" hidden="1" x14ac:dyDescent="0.25">
      <c r="A57" s="67">
        <v>1</v>
      </c>
      <c r="B57" s="67" t="s">
        <v>70</v>
      </c>
      <c r="C57" s="66">
        <v>24</v>
      </c>
      <c r="D57" s="66">
        <v>2403112</v>
      </c>
      <c r="E57" s="66" t="s">
        <v>179</v>
      </c>
      <c r="F57" s="66" t="s">
        <v>81</v>
      </c>
      <c r="G57" s="65" t="s">
        <v>182</v>
      </c>
      <c r="H57" s="64"/>
      <c r="I57" s="63">
        <v>444810814</v>
      </c>
      <c r="J57" s="64"/>
      <c r="K57" s="63"/>
      <c r="L57" s="63">
        <f t="shared" si="14"/>
        <v>444810814</v>
      </c>
      <c r="M57" s="62"/>
      <c r="N57" s="62"/>
      <c r="O57" s="62">
        <v>290807409.56178707</v>
      </c>
      <c r="P57" s="62">
        <v>154003404.43821293</v>
      </c>
      <c r="Q57" s="62"/>
      <c r="R57" s="62"/>
      <c r="S57" s="61">
        <f t="shared" si="11"/>
        <v>444810814</v>
      </c>
      <c r="T57" s="61">
        <f t="shared" si="15"/>
        <v>0</v>
      </c>
      <c r="U57" s="61"/>
    </row>
    <row r="58" spans="1:21" customFormat="1" ht="56.25" hidden="1" x14ac:dyDescent="0.25">
      <c r="A58" s="67">
        <v>1</v>
      </c>
      <c r="B58" s="67" t="s">
        <v>70</v>
      </c>
      <c r="C58" s="66">
        <v>24</v>
      </c>
      <c r="D58" s="66">
        <v>2403112</v>
      </c>
      <c r="E58" s="66" t="s">
        <v>179</v>
      </c>
      <c r="F58" s="66" t="s">
        <v>81</v>
      </c>
      <c r="G58" s="65" t="s">
        <v>181</v>
      </c>
      <c r="H58" s="64"/>
      <c r="I58" s="63">
        <v>121426808</v>
      </c>
      <c r="J58" s="64"/>
      <c r="K58" s="63"/>
      <c r="L58" s="63">
        <f t="shared" si="14"/>
        <v>121426808</v>
      </c>
      <c r="M58" s="62"/>
      <c r="N58" s="62"/>
      <c r="O58" s="62">
        <v>79386144.343686044</v>
      </c>
      <c r="P58" s="62">
        <v>42040663.656313963</v>
      </c>
      <c r="Q58" s="62"/>
      <c r="R58" s="62"/>
      <c r="S58" s="61">
        <f t="shared" si="11"/>
        <v>121426808</v>
      </c>
      <c r="T58" s="61">
        <f t="shared" si="15"/>
        <v>0</v>
      </c>
      <c r="U58" s="61"/>
    </row>
    <row r="59" spans="1:21" customFormat="1" ht="15" hidden="1" x14ac:dyDescent="0.25">
      <c r="A59" s="67">
        <v>1</v>
      </c>
      <c r="B59" s="67" t="s">
        <v>70</v>
      </c>
      <c r="C59" s="66">
        <v>24</v>
      </c>
      <c r="D59" s="66">
        <v>2403112</v>
      </c>
      <c r="E59" s="66" t="s">
        <v>179</v>
      </c>
      <c r="F59" s="66" t="s">
        <v>81</v>
      </c>
      <c r="G59" s="65" t="s">
        <v>67</v>
      </c>
      <c r="H59" s="64"/>
      <c r="I59" s="63"/>
      <c r="J59" s="64"/>
      <c r="K59" s="63"/>
      <c r="L59" s="63">
        <f t="shared" si="14"/>
        <v>0</v>
      </c>
      <c r="M59" s="74"/>
      <c r="N59" s="62"/>
      <c r="O59" s="62"/>
      <c r="P59" s="68">
        <f>J42</f>
        <v>532057364</v>
      </c>
      <c r="Q59" s="62"/>
      <c r="R59" s="62"/>
      <c r="S59" s="61">
        <f t="shared" si="11"/>
        <v>532057364</v>
      </c>
      <c r="T59" s="61">
        <f t="shared" si="15"/>
        <v>-532057364</v>
      </c>
      <c r="U59" s="61"/>
    </row>
    <row r="60" spans="1:21" s="54" customFormat="1" hidden="1" x14ac:dyDescent="0.2">
      <c r="A60" s="60">
        <v>1</v>
      </c>
      <c r="B60" s="60" t="s">
        <v>66</v>
      </c>
      <c r="C60" s="59">
        <v>24</v>
      </c>
      <c r="D60" s="59">
        <v>24</v>
      </c>
      <c r="E60" s="59" t="s">
        <v>179</v>
      </c>
      <c r="F60" s="59" t="s">
        <v>65</v>
      </c>
      <c r="G60" s="59" t="s">
        <v>64</v>
      </c>
      <c r="H60" s="58">
        <v>2753801601</v>
      </c>
      <c r="I60" s="58">
        <f>SUM(I61:I63)</f>
        <v>1748676895</v>
      </c>
      <c r="J60" s="58">
        <f>H60-I60</f>
        <v>1005124706</v>
      </c>
      <c r="K60" s="58">
        <f t="shared" ref="K60:R60" si="16">SUM(K61:K63)</f>
        <v>1704179997</v>
      </c>
      <c r="L60" s="58">
        <f t="shared" si="16"/>
        <v>44496898</v>
      </c>
      <c r="M60" s="58">
        <f t="shared" si="16"/>
        <v>0</v>
      </c>
      <c r="N60" s="58">
        <f t="shared" si="16"/>
        <v>44496898</v>
      </c>
      <c r="O60" s="58">
        <f t="shared" si="16"/>
        <v>0</v>
      </c>
      <c r="P60" s="58">
        <f t="shared" si="16"/>
        <v>1005124706</v>
      </c>
      <c r="Q60" s="58">
        <f t="shared" si="16"/>
        <v>0</v>
      </c>
      <c r="R60" s="58">
        <f t="shared" si="16"/>
        <v>0</v>
      </c>
      <c r="S60" s="58">
        <f t="shared" si="11"/>
        <v>2753801601</v>
      </c>
      <c r="T60" s="58">
        <f>H60-S60</f>
        <v>0</v>
      </c>
      <c r="U60" s="57"/>
    </row>
    <row r="61" spans="1:21" customFormat="1" ht="15" hidden="1" x14ac:dyDescent="0.25">
      <c r="A61" s="67">
        <v>1</v>
      </c>
      <c r="B61" s="67" t="s">
        <v>70</v>
      </c>
      <c r="C61" s="66">
        <v>24</v>
      </c>
      <c r="D61" s="66">
        <v>2403112</v>
      </c>
      <c r="E61" s="66" t="s">
        <v>179</v>
      </c>
      <c r="F61" s="66" t="s">
        <v>65</v>
      </c>
      <c r="G61" s="65" t="s">
        <v>67</v>
      </c>
      <c r="H61" s="64"/>
      <c r="I61" s="63"/>
      <c r="J61" s="64"/>
      <c r="K61" s="63"/>
      <c r="L61" s="63">
        <f>I61-K61</f>
        <v>0</v>
      </c>
      <c r="M61" s="74"/>
      <c r="N61" s="62"/>
      <c r="O61" s="62"/>
      <c r="P61" s="68">
        <f>J60</f>
        <v>1005124706</v>
      </c>
      <c r="Q61" s="62"/>
      <c r="R61" s="62"/>
      <c r="S61" s="61">
        <f t="shared" si="11"/>
        <v>1005124706</v>
      </c>
      <c r="T61" s="61">
        <f>I61-S61</f>
        <v>-1005124706</v>
      </c>
      <c r="U61" s="61" t="s">
        <v>180</v>
      </c>
    </row>
    <row r="62" spans="1:21" customFormat="1" ht="15" hidden="1" x14ac:dyDescent="0.25">
      <c r="A62" s="67">
        <v>1</v>
      </c>
      <c r="B62" s="67" t="s">
        <v>70</v>
      </c>
      <c r="C62" s="66">
        <v>24</v>
      </c>
      <c r="D62" s="66">
        <v>2403112</v>
      </c>
      <c r="E62" s="66" t="s">
        <v>179</v>
      </c>
      <c r="F62" s="66" t="s">
        <v>65</v>
      </c>
      <c r="G62" s="65" t="s">
        <v>165</v>
      </c>
      <c r="H62" s="64"/>
      <c r="I62" s="63">
        <f>1671679997+32500000</f>
        <v>1704179997</v>
      </c>
      <c r="J62" s="64"/>
      <c r="K62" s="63">
        <v>1704179997</v>
      </c>
      <c r="L62" s="63"/>
      <c r="M62" s="62"/>
      <c r="N62" s="62"/>
      <c r="O62" s="62"/>
      <c r="P62" s="62"/>
      <c r="Q62" s="62"/>
      <c r="R62" s="62"/>
      <c r="S62" s="61">
        <f t="shared" si="11"/>
        <v>1704179997</v>
      </c>
      <c r="T62" s="61">
        <f>I62-S62</f>
        <v>0</v>
      </c>
      <c r="U62" s="61" t="s">
        <v>73</v>
      </c>
    </row>
    <row r="63" spans="1:21" customFormat="1" ht="22.5" hidden="1" x14ac:dyDescent="0.25">
      <c r="A63" s="67">
        <v>1</v>
      </c>
      <c r="B63" s="67" t="s">
        <v>70</v>
      </c>
      <c r="C63" s="66">
        <v>24</v>
      </c>
      <c r="D63" s="66">
        <v>2403112</v>
      </c>
      <c r="E63" s="66" t="s">
        <v>179</v>
      </c>
      <c r="F63" s="66" t="s">
        <v>65</v>
      </c>
      <c r="G63" s="65" t="s">
        <v>178</v>
      </c>
      <c r="H63" s="64"/>
      <c r="I63" s="63">
        <v>44496898</v>
      </c>
      <c r="J63" s="64"/>
      <c r="K63" s="63"/>
      <c r="L63" s="63">
        <f>I63-K63</f>
        <v>44496898</v>
      </c>
      <c r="M63" s="74"/>
      <c r="N63" s="62">
        <v>44496898</v>
      </c>
      <c r="O63" s="62"/>
      <c r="P63" s="62"/>
      <c r="Q63" s="62"/>
      <c r="R63" s="62"/>
      <c r="S63" s="61">
        <f t="shared" si="11"/>
        <v>44496898</v>
      </c>
      <c r="T63" s="61">
        <f>I63-S63</f>
        <v>0</v>
      </c>
      <c r="U63" s="61"/>
    </row>
    <row r="64" spans="1:21" s="54" customFormat="1" x14ac:dyDescent="0.2">
      <c r="A64" s="60">
        <v>1</v>
      </c>
      <c r="B64" s="60" t="s">
        <v>66</v>
      </c>
      <c r="C64" s="59">
        <v>24</v>
      </c>
      <c r="D64" s="59">
        <v>24</v>
      </c>
      <c r="E64" s="59" t="s">
        <v>164</v>
      </c>
      <c r="F64" s="59" t="s">
        <v>90</v>
      </c>
      <c r="G64" s="59" t="s">
        <v>177</v>
      </c>
      <c r="H64" s="58">
        <v>153022442</v>
      </c>
      <c r="I64" s="58">
        <v>120155721</v>
      </c>
      <c r="J64" s="58">
        <v>32866721</v>
      </c>
      <c r="K64" s="58">
        <v>55106865</v>
      </c>
      <c r="L64" s="58">
        <v>65048856</v>
      </c>
      <c r="M64" s="58">
        <v>10841476</v>
      </c>
      <c r="N64" s="58">
        <v>10841476</v>
      </c>
      <c r="O64" s="58">
        <v>10841476</v>
      </c>
      <c r="P64" s="58">
        <v>10841476</v>
      </c>
      <c r="Q64" s="58">
        <v>10841476</v>
      </c>
      <c r="R64" s="58">
        <v>10841476</v>
      </c>
      <c r="S64" s="57">
        <f t="shared" si="11"/>
        <v>120155721</v>
      </c>
      <c r="T64" s="57">
        <f>H64-S64</f>
        <v>32866721</v>
      </c>
      <c r="U64" s="57" t="s">
        <v>176</v>
      </c>
    </row>
    <row r="65" spans="1:21" s="54" customFormat="1" x14ac:dyDescent="0.2">
      <c r="A65" s="60">
        <v>1</v>
      </c>
      <c r="B65" s="60" t="s">
        <v>66</v>
      </c>
      <c r="C65" s="59">
        <v>24</v>
      </c>
      <c r="D65" s="59">
        <v>24</v>
      </c>
      <c r="E65" s="59" t="s">
        <v>164</v>
      </c>
      <c r="F65" s="59" t="s">
        <v>88</v>
      </c>
      <c r="G65" s="59" t="s">
        <v>87</v>
      </c>
      <c r="H65" s="58">
        <v>3537558</v>
      </c>
      <c r="I65" s="58">
        <v>220138</v>
      </c>
      <c r="J65" s="58">
        <v>3317420</v>
      </c>
      <c r="K65" s="58">
        <v>220138</v>
      </c>
      <c r="L65" s="58">
        <v>0</v>
      </c>
      <c r="M65" s="58">
        <v>220138</v>
      </c>
      <c r="N65" s="58">
        <v>440276</v>
      </c>
      <c r="O65" s="58">
        <v>440276</v>
      </c>
      <c r="P65" s="58">
        <v>220138</v>
      </c>
      <c r="Q65" s="58">
        <v>235488</v>
      </c>
      <c r="R65" s="58">
        <v>1761104</v>
      </c>
      <c r="S65" s="57">
        <f t="shared" si="11"/>
        <v>3537558</v>
      </c>
      <c r="T65" s="57">
        <f>H65-S65</f>
        <v>0</v>
      </c>
      <c r="U65" s="57"/>
    </row>
    <row r="66" spans="1:21" s="54" customFormat="1" ht="25.5" x14ac:dyDescent="0.2">
      <c r="A66" s="60">
        <v>1</v>
      </c>
      <c r="B66" s="60" t="s">
        <v>66</v>
      </c>
      <c r="C66" s="59">
        <v>24</v>
      </c>
      <c r="D66" s="59">
        <v>24</v>
      </c>
      <c r="E66" s="59" t="s">
        <v>164</v>
      </c>
      <c r="F66" s="71" t="s">
        <v>81</v>
      </c>
      <c r="G66" s="59" t="s">
        <v>86</v>
      </c>
      <c r="H66" s="58">
        <v>856139106</v>
      </c>
      <c r="I66" s="58">
        <v>638589885</v>
      </c>
      <c r="J66" s="58">
        <v>217549221</v>
      </c>
      <c r="K66" s="58">
        <v>131509620</v>
      </c>
      <c r="L66" s="58">
        <v>507080265</v>
      </c>
      <c r="M66" s="58">
        <f t="shared" ref="M66:R66" si="17">SUM(M68:M76)</f>
        <v>38290000</v>
      </c>
      <c r="N66" s="58">
        <f t="shared" si="17"/>
        <v>193997480</v>
      </c>
      <c r="O66" s="58">
        <f t="shared" si="17"/>
        <v>277529796</v>
      </c>
      <c r="P66" s="58">
        <f t="shared" si="17"/>
        <v>478300</v>
      </c>
      <c r="Q66" s="58">
        <f t="shared" si="17"/>
        <v>171186411</v>
      </c>
      <c r="R66" s="58">
        <f t="shared" si="17"/>
        <v>43147499</v>
      </c>
      <c r="S66" s="58">
        <f t="shared" si="11"/>
        <v>856139106</v>
      </c>
      <c r="T66" s="58">
        <f>H66-S66</f>
        <v>0</v>
      </c>
      <c r="U66" s="57"/>
    </row>
    <row r="67" spans="1:21" customFormat="1" ht="15" hidden="1" x14ac:dyDescent="0.25">
      <c r="A67" s="67">
        <v>1</v>
      </c>
      <c r="B67" s="67" t="s">
        <v>70</v>
      </c>
      <c r="C67" s="66">
        <v>24</v>
      </c>
      <c r="D67" s="66">
        <v>2403114</v>
      </c>
      <c r="E67" s="66" t="s">
        <v>164</v>
      </c>
      <c r="F67" s="66" t="s">
        <v>81</v>
      </c>
      <c r="G67" s="65" t="s">
        <v>73</v>
      </c>
      <c r="H67" s="64"/>
      <c r="I67" s="63">
        <v>4567128</v>
      </c>
      <c r="J67" s="64"/>
      <c r="K67" s="63">
        <f>4481827+71601+13700</f>
        <v>4567128</v>
      </c>
      <c r="L67" s="63">
        <f t="shared" ref="L67:L76" si="18">I67-K67</f>
        <v>0</v>
      </c>
      <c r="M67" s="62"/>
      <c r="N67" s="62"/>
      <c r="O67" s="62"/>
      <c r="P67" s="62"/>
      <c r="Q67" s="62"/>
      <c r="R67" s="62"/>
      <c r="S67" s="61">
        <f t="shared" ref="S67:S84" si="19">SUM(K67:R67)-L67</f>
        <v>4567128</v>
      </c>
      <c r="T67" s="61">
        <f t="shared" ref="T67:T76" si="20">I67-S67</f>
        <v>0</v>
      </c>
      <c r="U67" s="61" t="s">
        <v>73</v>
      </c>
    </row>
    <row r="68" spans="1:21" customFormat="1" ht="45" x14ac:dyDescent="0.25">
      <c r="A68" s="67">
        <v>1</v>
      </c>
      <c r="B68" s="67" t="s">
        <v>70</v>
      </c>
      <c r="C68" s="66">
        <v>24</v>
      </c>
      <c r="D68" s="66">
        <v>2403114</v>
      </c>
      <c r="E68" s="66" t="s">
        <v>164</v>
      </c>
      <c r="F68" s="66" t="s">
        <v>81</v>
      </c>
      <c r="G68" s="65" t="s">
        <v>175</v>
      </c>
      <c r="H68" s="64"/>
      <c r="I68" s="63">
        <v>185557000</v>
      </c>
      <c r="J68" s="64"/>
      <c r="K68" s="63">
        <v>92778500</v>
      </c>
      <c r="L68" s="63">
        <f t="shared" si="18"/>
        <v>92778500</v>
      </c>
      <c r="M68" s="62"/>
      <c r="N68" s="68">
        <v>92778500</v>
      </c>
      <c r="O68" s="62"/>
      <c r="P68" s="62"/>
      <c r="Q68" s="62"/>
      <c r="R68" s="62"/>
      <c r="S68" s="61">
        <f t="shared" si="19"/>
        <v>185557000</v>
      </c>
      <c r="T68" s="61">
        <f t="shared" si="20"/>
        <v>0</v>
      </c>
      <c r="U68" s="61"/>
    </row>
    <row r="69" spans="1:21" customFormat="1" ht="45" hidden="1" x14ac:dyDescent="0.25">
      <c r="A69" s="67">
        <v>1</v>
      </c>
      <c r="B69" s="67" t="s">
        <v>70</v>
      </c>
      <c r="C69" s="66">
        <v>24</v>
      </c>
      <c r="D69" s="66">
        <v>2403114</v>
      </c>
      <c r="E69" s="66" t="s">
        <v>164</v>
      </c>
      <c r="F69" s="66" t="s">
        <v>81</v>
      </c>
      <c r="G69" s="65" t="s">
        <v>174</v>
      </c>
      <c r="H69" s="64"/>
      <c r="I69" s="63">
        <v>195802507</v>
      </c>
      <c r="J69" s="64"/>
      <c r="K69" s="63">
        <v>33841691</v>
      </c>
      <c r="L69" s="63">
        <f t="shared" si="18"/>
        <v>161960816</v>
      </c>
      <c r="M69" s="68">
        <v>38290000</v>
      </c>
      <c r="N69" s="62"/>
      <c r="O69" s="62">
        <v>82090816</v>
      </c>
      <c r="P69" s="62"/>
      <c r="Q69" s="62"/>
      <c r="R69" s="62">
        <v>41580000</v>
      </c>
      <c r="S69" s="61">
        <f t="shared" si="19"/>
        <v>195802507</v>
      </c>
      <c r="T69" s="61">
        <f t="shared" si="20"/>
        <v>0</v>
      </c>
      <c r="U69" s="61"/>
    </row>
    <row r="70" spans="1:21" customFormat="1" ht="22.5" x14ac:dyDescent="0.25">
      <c r="A70" s="67">
        <v>1</v>
      </c>
      <c r="B70" s="67" t="s">
        <v>70</v>
      </c>
      <c r="C70" s="66">
        <v>24</v>
      </c>
      <c r="D70" s="66">
        <v>2403114</v>
      </c>
      <c r="E70" s="66" t="s">
        <v>164</v>
      </c>
      <c r="F70" s="66" t="s">
        <v>81</v>
      </c>
      <c r="G70" s="65" t="s">
        <v>173</v>
      </c>
      <c r="H70" s="64"/>
      <c r="I70" s="63">
        <v>2000000</v>
      </c>
      <c r="J70" s="64"/>
      <c r="K70" s="63">
        <v>288554</v>
      </c>
      <c r="L70" s="63">
        <f t="shared" si="18"/>
        <v>1711446</v>
      </c>
      <c r="M70" s="62"/>
      <c r="N70" s="62">
        <v>100000</v>
      </c>
      <c r="O70" s="62">
        <v>220000</v>
      </c>
      <c r="P70" s="62">
        <v>220000</v>
      </c>
      <c r="Q70" s="62">
        <v>220000</v>
      </c>
      <c r="R70" s="62">
        <v>951446</v>
      </c>
      <c r="S70" s="61">
        <f t="shared" si="19"/>
        <v>2000000</v>
      </c>
      <c r="T70" s="61">
        <f t="shared" si="20"/>
        <v>0</v>
      </c>
      <c r="U70" s="61"/>
    </row>
    <row r="71" spans="1:21" customFormat="1" ht="15" x14ac:dyDescent="0.25">
      <c r="A71" s="67">
        <v>1</v>
      </c>
      <c r="B71" s="67" t="s">
        <v>70</v>
      </c>
      <c r="C71" s="66">
        <v>24</v>
      </c>
      <c r="D71" s="66">
        <v>2403114</v>
      </c>
      <c r="E71" s="66" t="s">
        <v>164</v>
      </c>
      <c r="F71" s="66" t="s">
        <v>81</v>
      </c>
      <c r="G71" s="65" t="s">
        <v>172</v>
      </c>
      <c r="H71" s="64"/>
      <c r="I71" s="63">
        <v>500000</v>
      </c>
      <c r="J71" s="64"/>
      <c r="K71" s="63"/>
      <c r="L71" s="63">
        <f t="shared" si="18"/>
        <v>500000</v>
      </c>
      <c r="M71" s="62"/>
      <c r="N71" s="62">
        <v>100000</v>
      </c>
      <c r="O71" s="62">
        <v>100000</v>
      </c>
      <c r="P71" s="62">
        <v>100000</v>
      </c>
      <c r="Q71" s="62">
        <v>100000</v>
      </c>
      <c r="R71" s="62">
        <v>100000</v>
      </c>
      <c r="S71" s="61">
        <f t="shared" si="19"/>
        <v>500000</v>
      </c>
      <c r="T71" s="61">
        <f t="shared" si="20"/>
        <v>0</v>
      </c>
      <c r="U71" s="61"/>
    </row>
    <row r="72" spans="1:21" customFormat="1" ht="56.25" x14ac:dyDescent="0.25">
      <c r="A72" s="67">
        <v>1</v>
      </c>
      <c r="B72" s="67" t="s">
        <v>70</v>
      </c>
      <c r="C72" s="66">
        <v>24</v>
      </c>
      <c r="D72" s="66">
        <v>2403114</v>
      </c>
      <c r="E72" s="66" t="s">
        <v>164</v>
      </c>
      <c r="F72" s="66" t="s">
        <v>81</v>
      </c>
      <c r="G72" s="65" t="s">
        <v>171</v>
      </c>
      <c r="H72" s="64"/>
      <c r="I72" s="63">
        <v>249080250</v>
      </c>
      <c r="J72" s="64"/>
      <c r="K72" s="63"/>
      <c r="L72" s="63">
        <f t="shared" si="18"/>
        <v>249080250</v>
      </c>
      <c r="M72" s="68">
        <f>100960680*0</f>
        <v>0</v>
      </c>
      <c r="N72" s="62">
        <v>100960680</v>
      </c>
      <c r="O72" s="62">
        <v>100960680</v>
      </c>
      <c r="P72" s="62"/>
      <c r="Q72" s="62">
        <v>47158890</v>
      </c>
      <c r="R72" s="62"/>
      <c r="S72" s="61">
        <f t="shared" si="19"/>
        <v>249080250</v>
      </c>
      <c r="T72" s="61">
        <f t="shared" si="20"/>
        <v>0</v>
      </c>
      <c r="U72" s="61"/>
    </row>
    <row r="73" spans="1:21" customFormat="1" ht="15" x14ac:dyDescent="0.25">
      <c r="A73" s="67">
        <v>1</v>
      </c>
      <c r="B73" s="67" t="s">
        <v>70</v>
      </c>
      <c r="C73" s="66">
        <v>24</v>
      </c>
      <c r="D73" s="66">
        <v>2403114</v>
      </c>
      <c r="E73" s="66" t="s">
        <v>164</v>
      </c>
      <c r="F73" s="66" t="s">
        <v>81</v>
      </c>
      <c r="G73" s="65" t="s">
        <v>170</v>
      </c>
      <c r="H73" s="64"/>
      <c r="I73" s="63">
        <v>1000000</v>
      </c>
      <c r="J73" s="64"/>
      <c r="K73" s="63">
        <v>31720</v>
      </c>
      <c r="L73" s="63">
        <f t="shared" si="18"/>
        <v>968280</v>
      </c>
      <c r="M73" s="62"/>
      <c r="N73" s="62">
        <v>50000</v>
      </c>
      <c r="O73" s="62">
        <v>150000</v>
      </c>
      <c r="P73" s="62">
        <v>150000</v>
      </c>
      <c r="Q73" s="62">
        <v>150000</v>
      </c>
      <c r="R73" s="62">
        <v>468280</v>
      </c>
      <c r="S73" s="61">
        <f t="shared" si="19"/>
        <v>1000000</v>
      </c>
      <c r="T73" s="61">
        <f t="shared" si="20"/>
        <v>0</v>
      </c>
      <c r="U73" s="61"/>
    </row>
    <row r="74" spans="1:21" customFormat="1" ht="15" x14ac:dyDescent="0.25">
      <c r="A74" s="67">
        <v>1</v>
      </c>
      <c r="B74" s="67" t="s">
        <v>70</v>
      </c>
      <c r="C74" s="66">
        <v>24</v>
      </c>
      <c r="D74" s="66">
        <v>2403114</v>
      </c>
      <c r="E74" s="66" t="s">
        <v>164</v>
      </c>
      <c r="F74" s="66" t="s">
        <v>81</v>
      </c>
      <c r="G74" s="65" t="s">
        <v>169</v>
      </c>
      <c r="H74" s="64"/>
      <c r="I74" s="63">
        <v>83000</v>
      </c>
      <c r="J74" s="64"/>
      <c r="K74" s="63">
        <v>2027</v>
      </c>
      <c r="L74" s="63">
        <f t="shared" si="18"/>
        <v>80973</v>
      </c>
      <c r="M74" s="62"/>
      <c r="N74" s="62">
        <v>8300</v>
      </c>
      <c r="O74" s="62">
        <v>8300</v>
      </c>
      <c r="P74" s="62">
        <v>8300</v>
      </c>
      <c r="Q74" s="62">
        <v>8300</v>
      </c>
      <c r="R74" s="62">
        <v>47773</v>
      </c>
      <c r="S74" s="61">
        <f t="shared" si="19"/>
        <v>83000</v>
      </c>
      <c r="T74" s="61">
        <f t="shared" si="20"/>
        <v>0</v>
      </c>
      <c r="U74" s="61"/>
    </row>
    <row r="75" spans="1:21" customFormat="1" ht="15" hidden="1" x14ac:dyDescent="0.25">
      <c r="A75" s="67">
        <v>1</v>
      </c>
      <c r="B75" s="67" t="s">
        <v>70</v>
      </c>
      <c r="C75" s="66">
        <v>24</v>
      </c>
      <c r="D75" s="66">
        <v>2403114</v>
      </c>
      <c r="E75" s="66" t="s">
        <v>164</v>
      </c>
      <c r="F75" s="66" t="s">
        <v>81</v>
      </c>
      <c r="G75" s="65" t="s">
        <v>168</v>
      </c>
      <c r="H75" s="64"/>
      <c r="I75" s="63"/>
      <c r="J75" s="64"/>
      <c r="K75" s="63"/>
      <c r="L75" s="63">
        <f t="shared" si="18"/>
        <v>0</v>
      </c>
      <c r="M75" s="62"/>
      <c r="N75" s="62"/>
      <c r="O75" s="68">
        <v>94000000</v>
      </c>
      <c r="P75" s="62"/>
      <c r="Q75" s="68">
        <v>95000000</v>
      </c>
      <c r="R75" s="62"/>
      <c r="S75" s="61">
        <f t="shared" si="19"/>
        <v>189000000</v>
      </c>
      <c r="T75" s="61">
        <f t="shared" si="20"/>
        <v>-189000000</v>
      </c>
      <c r="U75" s="61"/>
    </row>
    <row r="76" spans="1:21" customFormat="1" ht="15" hidden="1" x14ac:dyDescent="0.25">
      <c r="A76" s="67">
        <v>1</v>
      </c>
      <c r="B76" s="67" t="s">
        <v>70</v>
      </c>
      <c r="C76" s="66">
        <v>24</v>
      </c>
      <c r="D76" s="66">
        <v>2403114</v>
      </c>
      <c r="E76" s="66" t="s">
        <v>164</v>
      </c>
      <c r="F76" s="66" t="s">
        <v>81</v>
      </c>
      <c r="G76" s="65" t="s">
        <v>167</v>
      </c>
      <c r="H76" s="64"/>
      <c r="I76" s="63"/>
      <c r="J76" s="64"/>
      <c r="K76" s="63"/>
      <c r="L76" s="63">
        <f t="shared" si="18"/>
        <v>0</v>
      </c>
      <c r="M76" s="62"/>
      <c r="N76" s="62"/>
      <c r="O76" s="62"/>
      <c r="P76" s="62"/>
      <c r="Q76" s="68">
        <f>J66-189000000</f>
        <v>28549221</v>
      </c>
      <c r="R76" s="62"/>
      <c r="S76" s="61">
        <f t="shared" si="19"/>
        <v>28549221</v>
      </c>
      <c r="T76" s="61">
        <f t="shared" si="20"/>
        <v>-28549221</v>
      </c>
      <c r="U76" s="61"/>
    </row>
    <row r="77" spans="1:21" s="54" customFormat="1" ht="38.25" hidden="1" x14ac:dyDescent="0.2">
      <c r="A77" s="60">
        <v>1</v>
      </c>
      <c r="B77" s="60" t="s">
        <v>66</v>
      </c>
      <c r="C77" s="59">
        <v>24</v>
      </c>
      <c r="D77" s="59">
        <v>24</v>
      </c>
      <c r="E77" s="59" t="s">
        <v>164</v>
      </c>
      <c r="F77" s="71" t="s">
        <v>78</v>
      </c>
      <c r="G77" s="59" t="s">
        <v>79</v>
      </c>
      <c r="H77" s="58">
        <f>36386354-36122460</f>
        <v>263894</v>
      </c>
      <c r="I77" s="58">
        <v>263894</v>
      </c>
      <c r="J77" s="58">
        <f>H77-I77</f>
        <v>0</v>
      </c>
      <c r="K77" s="58">
        <v>263894</v>
      </c>
      <c r="L77" s="58">
        <v>0</v>
      </c>
      <c r="M77" s="58">
        <f t="shared" ref="M77:R77" si="21">SUM(M78:M78)</f>
        <v>0</v>
      </c>
      <c r="N77" s="58">
        <f t="shared" si="21"/>
        <v>0</v>
      </c>
      <c r="O77" s="58">
        <f t="shared" si="21"/>
        <v>0</v>
      </c>
      <c r="P77" s="58">
        <f t="shared" si="21"/>
        <v>0</v>
      </c>
      <c r="Q77" s="58">
        <f t="shared" si="21"/>
        <v>0</v>
      </c>
      <c r="R77" s="58">
        <f t="shared" si="21"/>
        <v>0</v>
      </c>
      <c r="S77" s="58">
        <f t="shared" si="19"/>
        <v>263894</v>
      </c>
      <c r="T77" s="58">
        <f>H77-S77</f>
        <v>0</v>
      </c>
      <c r="U77" s="57"/>
    </row>
    <row r="78" spans="1:21" customFormat="1" ht="33.75" hidden="1" x14ac:dyDescent="0.25">
      <c r="A78" s="67">
        <v>1</v>
      </c>
      <c r="B78" s="67" t="s">
        <v>70</v>
      </c>
      <c r="C78" s="66">
        <v>24</v>
      </c>
      <c r="D78" s="66">
        <v>2403114</v>
      </c>
      <c r="E78" s="66" t="s">
        <v>164</v>
      </c>
      <c r="F78" s="65" t="s">
        <v>78</v>
      </c>
      <c r="G78" s="65" t="s">
        <v>166</v>
      </c>
      <c r="H78" s="64"/>
      <c r="I78" s="63">
        <v>263894</v>
      </c>
      <c r="J78" s="64"/>
      <c r="K78" s="63">
        <v>263894</v>
      </c>
      <c r="L78" s="63">
        <f>I78-K78</f>
        <v>0</v>
      </c>
      <c r="M78" s="62"/>
      <c r="N78" s="62"/>
      <c r="O78" s="62"/>
      <c r="P78" s="62"/>
      <c r="Q78" s="62"/>
      <c r="R78" s="62"/>
      <c r="S78" s="61">
        <f t="shared" si="19"/>
        <v>263894</v>
      </c>
      <c r="T78" s="61">
        <f>I78-S78</f>
        <v>0</v>
      </c>
      <c r="U78" s="61" t="s">
        <v>73</v>
      </c>
    </row>
    <row r="79" spans="1:21" s="54" customFormat="1" hidden="1" x14ac:dyDescent="0.2">
      <c r="A79" s="60">
        <v>1</v>
      </c>
      <c r="B79" s="60" t="s">
        <v>66</v>
      </c>
      <c r="C79" s="59">
        <v>24</v>
      </c>
      <c r="D79" s="59">
        <v>24</v>
      </c>
      <c r="E79" s="59" t="s">
        <v>164</v>
      </c>
      <c r="F79" s="59" t="s">
        <v>65</v>
      </c>
      <c r="G79" s="59" t="s">
        <v>64</v>
      </c>
      <c r="H79" s="58">
        <v>5585088000</v>
      </c>
      <c r="I79" s="58">
        <v>5315620190</v>
      </c>
      <c r="J79" s="58">
        <v>269467810</v>
      </c>
      <c r="K79" s="58">
        <v>5315620190</v>
      </c>
      <c r="L79" s="58">
        <v>0</v>
      </c>
      <c r="M79" s="58">
        <f t="shared" ref="M79:R79" si="22">SUM(M81:M81)</f>
        <v>0</v>
      </c>
      <c r="N79" s="58">
        <f t="shared" si="22"/>
        <v>0</v>
      </c>
      <c r="O79" s="58">
        <f t="shared" si="22"/>
        <v>269467810</v>
      </c>
      <c r="P79" s="58">
        <f t="shared" si="22"/>
        <v>0</v>
      </c>
      <c r="Q79" s="58">
        <f t="shared" si="22"/>
        <v>0</v>
      </c>
      <c r="R79" s="58">
        <f t="shared" si="22"/>
        <v>0</v>
      </c>
      <c r="S79" s="58">
        <f t="shared" si="19"/>
        <v>5585088000</v>
      </c>
      <c r="T79" s="57">
        <f>H79-S79</f>
        <v>0</v>
      </c>
      <c r="U79" s="57"/>
    </row>
    <row r="80" spans="1:21" customFormat="1" ht="15" hidden="1" x14ac:dyDescent="0.25">
      <c r="A80" s="67">
        <v>1</v>
      </c>
      <c r="B80" s="67" t="s">
        <v>70</v>
      </c>
      <c r="C80" s="66">
        <v>24</v>
      </c>
      <c r="D80" s="66">
        <v>2403114</v>
      </c>
      <c r="E80" s="66" t="s">
        <v>164</v>
      </c>
      <c r="F80" s="66" t="s">
        <v>65</v>
      </c>
      <c r="G80" s="65" t="s">
        <v>165</v>
      </c>
      <c r="H80" s="64"/>
      <c r="I80" s="63">
        <v>5315620190</v>
      </c>
      <c r="J80" s="64"/>
      <c r="K80" s="63">
        <v>5315620190</v>
      </c>
      <c r="L80" s="63">
        <f>I80-K80</f>
        <v>0</v>
      </c>
      <c r="M80" s="62"/>
      <c r="N80" s="62"/>
      <c r="O80" s="62"/>
      <c r="P80" s="62"/>
      <c r="Q80" s="62"/>
      <c r="R80" s="62"/>
      <c r="S80" s="61">
        <f t="shared" si="19"/>
        <v>5315620190</v>
      </c>
      <c r="T80" s="61">
        <f>I80-S80</f>
        <v>0</v>
      </c>
      <c r="U80" s="61" t="s">
        <v>73</v>
      </c>
    </row>
    <row r="81" spans="1:22" customFormat="1" ht="15" hidden="1" x14ac:dyDescent="0.25">
      <c r="A81" s="67">
        <v>1</v>
      </c>
      <c r="B81" s="67" t="s">
        <v>70</v>
      </c>
      <c r="C81" s="66">
        <v>24</v>
      </c>
      <c r="D81" s="66">
        <v>2403114</v>
      </c>
      <c r="E81" s="66" t="s">
        <v>164</v>
      </c>
      <c r="F81" s="66" t="s">
        <v>65</v>
      </c>
      <c r="G81" s="65" t="s">
        <v>163</v>
      </c>
      <c r="H81" s="64"/>
      <c r="I81" s="63"/>
      <c r="J81" s="64"/>
      <c r="K81" s="63"/>
      <c r="L81" s="63">
        <f>I81-K81</f>
        <v>0</v>
      </c>
      <c r="M81" s="62"/>
      <c r="N81" s="62"/>
      <c r="O81" s="68">
        <f>J79</f>
        <v>269467810</v>
      </c>
      <c r="P81" s="62"/>
      <c r="Q81" s="62"/>
      <c r="R81" s="62"/>
      <c r="S81" s="61">
        <f t="shared" si="19"/>
        <v>269467810</v>
      </c>
      <c r="T81" s="61">
        <f>I81-S81</f>
        <v>-269467810</v>
      </c>
      <c r="U81" s="61"/>
    </row>
    <row r="82" spans="1:22" s="54" customFormat="1" hidden="1" x14ac:dyDescent="0.2">
      <c r="A82" s="60">
        <v>1</v>
      </c>
      <c r="B82" s="60" t="s">
        <v>66</v>
      </c>
      <c r="C82" s="73">
        <v>24</v>
      </c>
      <c r="D82" s="59">
        <v>24</v>
      </c>
      <c r="E82" s="72" t="s">
        <v>111</v>
      </c>
      <c r="F82" s="59" t="s">
        <v>90</v>
      </c>
      <c r="G82" s="59" t="s">
        <v>162</v>
      </c>
      <c r="H82" s="58">
        <v>778440491</v>
      </c>
      <c r="I82" s="58">
        <v>743511705</v>
      </c>
      <c r="J82" s="58">
        <v>34928786</v>
      </c>
      <c r="K82" s="58">
        <v>361265504</v>
      </c>
      <c r="L82" s="58">
        <v>382246201</v>
      </c>
      <c r="M82" s="58">
        <v>65755996</v>
      </c>
      <c r="N82" s="58">
        <v>63185996</v>
      </c>
      <c r="O82" s="58">
        <v>63185996</v>
      </c>
      <c r="P82" s="58">
        <v>63185996</v>
      </c>
      <c r="Q82" s="58">
        <v>63185996</v>
      </c>
      <c r="R82" s="58">
        <v>63185996</v>
      </c>
      <c r="S82" s="57">
        <f t="shared" si="19"/>
        <v>742951480</v>
      </c>
      <c r="T82" s="57">
        <f>H82-S82</f>
        <v>35489011</v>
      </c>
      <c r="U82" s="57"/>
    </row>
    <row r="83" spans="1:22" s="54" customFormat="1" hidden="1" x14ac:dyDescent="0.2">
      <c r="A83" s="60">
        <v>1</v>
      </c>
      <c r="B83" s="60" t="s">
        <v>66</v>
      </c>
      <c r="C83" s="73">
        <v>24</v>
      </c>
      <c r="D83" s="59">
        <v>24</v>
      </c>
      <c r="E83" s="72" t="s">
        <v>111</v>
      </c>
      <c r="F83" s="59" t="s">
        <v>88</v>
      </c>
      <c r="G83" s="59" t="s">
        <v>87</v>
      </c>
      <c r="H83" s="58">
        <v>16978273</v>
      </c>
      <c r="I83" s="58">
        <v>661814</v>
      </c>
      <c r="J83" s="58">
        <v>16316459</v>
      </c>
      <c r="K83" s="58">
        <v>661814</v>
      </c>
      <c r="L83" s="58">
        <v>0</v>
      </c>
      <c r="M83" s="58">
        <v>250000</v>
      </c>
      <c r="N83" s="58">
        <v>1800000</v>
      </c>
      <c r="O83" s="58">
        <v>1800000</v>
      </c>
      <c r="P83" s="58">
        <v>2500000</v>
      </c>
      <c r="Q83" s="58">
        <v>2500000</v>
      </c>
      <c r="R83" s="58">
        <v>2500000</v>
      </c>
      <c r="S83" s="57">
        <f t="shared" si="19"/>
        <v>12011814</v>
      </c>
      <c r="T83" s="57">
        <f>H83-S83</f>
        <v>4966459</v>
      </c>
      <c r="U83" s="57"/>
    </row>
    <row r="84" spans="1:22" s="54" customFormat="1" ht="25.5" hidden="1" x14ac:dyDescent="0.2">
      <c r="A84" s="60">
        <v>1</v>
      </c>
      <c r="B84" s="60" t="s">
        <v>66</v>
      </c>
      <c r="C84" s="73">
        <v>24</v>
      </c>
      <c r="D84" s="59">
        <v>24</v>
      </c>
      <c r="E84" s="72" t="s">
        <v>111</v>
      </c>
      <c r="F84" s="71" t="s">
        <v>81</v>
      </c>
      <c r="G84" s="59" t="s">
        <v>86</v>
      </c>
      <c r="H84" s="58">
        <v>47208808</v>
      </c>
      <c r="I84" s="58">
        <v>14335820</v>
      </c>
      <c r="J84" s="58">
        <v>32872988</v>
      </c>
      <c r="K84" s="58">
        <v>1956323</v>
      </c>
      <c r="L84" s="58">
        <v>12379497</v>
      </c>
      <c r="M84" s="58">
        <f t="shared" ref="M84:R84" si="23">SUM(M86:M91)</f>
        <v>328898</v>
      </c>
      <c r="N84" s="58">
        <f t="shared" si="23"/>
        <v>811820</v>
      </c>
      <c r="O84" s="58">
        <f t="shared" si="23"/>
        <v>1368820</v>
      </c>
      <c r="P84" s="58">
        <f t="shared" si="23"/>
        <v>34241808</v>
      </c>
      <c r="Q84" s="58">
        <f t="shared" si="23"/>
        <v>1368820</v>
      </c>
      <c r="R84" s="58">
        <f t="shared" si="23"/>
        <v>7132319</v>
      </c>
      <c r="S84" s="57">
        <f t="shared" si="19"/>
        <v>47208808</v>
      </c>
      <c r="T84" s="57">
        <f>H84-S84</f>
        <v>0</v>
      </c>
      <c r="U84" s="57"/>
      <c r="V84" s="54">
        <v>83859281</v>
      </c>
    </row>
    <row r="85" spans="1:22" customFormat="1" ht="15" hidden="1" x14ac:dyDescent="0.25">
      <c r="A85" s="67">
        <v>1</v>
      </c>
      <c r="B85" s="67" t="s">
        <v>70</v>
      </c>
      <c r="C85" s="66">
        <v>24</v>
      </c>
      <c r="D85" s="66">
        <v>2403113</v>
      </c>
      <c r="E85" s="66" t="s">
        <v>111</v>
      </c>
      <c r="F85" s="66" t="s">
        <v>81</v>
      </c>
      <c r="G85" s="65" t="s">
        <v>73</v>
      </c>
      <c r="H85" s="64"/>
      <c r="I85" s="63">
        <v>495800</v>
      </c>
      <c r="J85" s="64"/>
      <c r="K85" s="63">
        <f>55349+16000+57301+367150</f>
        <v>495800</v>
      </c>
      <c r="L85" s="63"/>
      <c r="M85" s="62"/>
      <c r="N85" s="62"/>
      <c r="O85" s="62"/>
      <c r="P85" s="62"/>
      <c r="Q85" s="62"/>
      <c r="R85" s="62"/>
      <c r="S85" s="61"/>
      <c r="T85" s="61"/>
      <c r="U85" s="61" t="s">
        <v>73</v>
      </c>
    </row>
    <row r="86" spans="1:22" customFormat="1" ht="22.5" hidden="1" x14ac:dyDescent="0.25">
      <c r="A86" s="67">
        <v>1</v>
      </c>
      <c r="B86" s="67" t="s">
        <v>70</v>
      </c>
      <c r="C86" s="66">
        <v>24</v>
      </c>
      <c r="D86" s="66">
        <v>2403113</v>
      </c>
      <c r="E86" s="66" t="s">
        <v>111</v>
      </c>
      <c r="F86" s="66" t="s">
        <v>81</v>
      </c>
      <c r="G86" s="65" t="s">
        <v>161</v>
      </c>
      <c r="H86" s="64"/>
      <c r="I86" s="63">
        <v>7000000</v>
      </c>
      <c r="J86" s="64"/>
      <c r="K86" s="63">
        <v>867321</v>
      </c>
      <c r="L86" s="63">
        <f>I86-K86</f>
        <v>6132679</v>
      </c>
      <c r="M86" s="62"/>
      <c r="N86" s="62">
        <v>300000</v>
      </c>
      <c r="O86" s="62">
        <v>657000</v>
      </c>
      <c r="P86" s="62">
        <v>657000</v>
      </c>
      <c r="Q86" s="62">
        <v>657000</v>
      </c>
      <c r="R86" s="62">
        <v>3861679</v>
      </c>
      <c r="S86" s="61">
        <f t="shared" ref="S86:S117" si="24">SUM(K86:R86)-L86</f>
        <v>7000000</v>
      </c>
      <c r="T86" s="61">
        <f t="shared" ref="T86:T91" si="25">I86-S86</f>
        <v>0</v>
      </c>
      <c r="U86" s="61"/>
    </row>
    <row r="87" spans="1:22" customFormat="1" ht="22.5" hidden="1" x14ac:dyDescent="0.25">
      <c r="A87" s="67">
        <v>1</v>
      </c>
      <c r="B87" s="67" t="s">
        <v>70</v>
      </c>
      <c r="C87" s="66">
        <v>24</v>
      </c>
      <c r="D87" s="66">
        <v>2403113</v>
      </c>
      <c r="E87" s="66" t="s">
        <v>111</v>
      </c>
      <c r="F87" s="66" t="s">
        <v>81</v>
      </c>
      <c r="G87" s="65" t="s">
        <v>160</v>
      </c>
      <c r="H87" s="64"/>
      <c r="I87" s="63">
        <f>1500000-278180</f>
        <v>1221820</v>
      </c>
      <c r="J87" s="64"/>
      <c r="K87" s="63"/>
      <c r="L87" s="63">
        <f>I87-K87</f>
        <v>1221820</v>
      </c>
      <c r="M87" s="62"/>
      <c r="N87" s="62">
        <v>150000</v>
      </c>
      <c r="O87" s="62">
        <v>150000</v>
      </c>
      <c r="P87" s="62">
        <v>150000</v>
      </c>
      <c r="Q87" s="62">
        <v>150000</v>
      </c>
      <c r="R87" s="62">
        <v>621820</v>
      </c>
      <c r="S87" s="61">
        <f t="shared" si="24"/>
        <v>1221820</v>
      </c>
      <c r="T87" s="61">
        <f t="shared" si="25"/>
        <v>0</v>
      </c>
      <c r="U87" s="61"/>
    </row>
    <row r="88" spans="1:22" customFormat="1" ht="22.5" hidden="1" x14ac:dyDescent="0.25">
      <c r="A88" s="67">
        <v>1</v>
      </c>
      <c r="B88" s="67" t="s">
        <v>70</v>
      </c>
      <c r="C88" s="66">
        <v>24</v>
      </c>
      <c r="D88" s="66">
        <v>2403113</v>
      </c>
      <c r="E88" s="66" t="s">
        <v>111</v>
      </c>
      <c r="F88" s="66" t="s">
        <v>81</v>
      </c>
      <c r="G88" s="65" t="s">
        <v>159</v>
      </c>
      <c r="H88" s="64"/>
      <c r="I88" s="63">
        <v>400000</v>
      </c>
      <c r="J88" s="64"/>
      <c r="K88" s="63"/>
      <c r="L88" s="63">
        <f>I88-K88</f>
        <v>400000</v>
      </c>
      <c r="M88" s="62"/>
      <c r="N88" s="62">
        <v>40000</v>
      </c>
      <c r="O88" s="62">
        <v>40000</v>
      </c>
      <c r="P88" s="62">
        <v>40000</v>
      </c>
      <c r="Q88" s="62">
        <v>40000</v>
      </c>
      <c r="R88" s="62">
        <v>240000</v>
      </c>
      <c r="S88" s="61">
        <f t="shared" si="24"/>
        <v>400000</v>
      </c>
      <c r="T88" s="61">
        <f t="shared" si="25"/>
        <v>0</v>
      </c>
      <c r="U88" s="61"/>
    </row>
    <row r="89" spans="1:22" customFormat="1" ht="15" hidden="1" x14ac:dyDescent="0.25">
      <c r="A89" s="67">
        <v>1</v>
      </c>
      <c r="B89" s="67" t="s">
        <v>70</v>
      </c>
      <c r="C89" s="66">
        <v>24</v>
      </c>
      <c r="D89" s="66">
        <v>2403113</v>
      </c>
      <c r="E89" s="66" t="s">
        <v>111</v>
      </c>
      <c r="F89" s="66" t="s">
        <v>81</v>
      </c>
      <c r="G89" s="65" t="s">
        <v>158</v>
      </c>
      <c r="H89" s="64"/>
      <c r="I89" s="63">
        <v>4000000</v>
      </c>
      <c r="J89" s="64"/>
      <c r="K89" s="63">
        <v>578460</v>
      </c>
      <c r="L89" s="63">
        <f>I89-K89</f>
        <v>3421540</v>
      </c>
      <c r="M89" s="62">
        <v>100000</v>
      </c>
      <c r="N89" s="62">
        <v>200000</v>
      </c>
      <c r="O89" s="62">
        <v>400000</v>
      </c>
      <c r="P89" s="62">
        <v>400000</v>
      </c>
      <c r="Q89" s="62">
        <v>400000</v>
      </c>
      <c r="R89" s="62">
        <v>1921540</v>
      </c>
      <c r="S89" s="61">
        <f t="shared" si="24"/>
        <v>4000000</v>
      </c>
      <c r="T89" s="61">
        <f t="shared" si="25"/>
        <v>0</v>
      </c>
      <c r="U89" s="61"/>
    </row>
    <row r="90" spans="1:22" customFormat="1" ht="15" hidden="1" x14ac:dyDescent="0.25">
      <c r="A90" s="67">
        <v>1</v>
      </c>
      <c r="B90" s="67" t="s">
        <v>70</v>
      </c>
      <c r="C90" s="66">
        <v>24</v>
      </c>
      <c r="D90" s="66">
        <v>2403113</v>
      </c>
      <c r="E90" s="66" t="s">
        <v>111</v>
      </c>
      <c r="F90" s="66" t="s">
        <v>81</v>
      </c>
      <c r="G90" s="65" t="s">
        <v>108</v>
      </c>
      <c r="H90" s="64"/>
      <c r="I90" s="63">
        <v>1218200</v>
      </c>
      <c r="J90" s="64"/>
      <c r="K90" s="63">
        <v>14742</v>
      </c>
      <c r="L90" s="63">
        <f>I90-K90</f>
        <v>1203458</v>
      </c>
      <c r="M90" s="62">
        <f>121820+107078</f>
        <v>228898</v>
      </c>
      <c r="N90" s="62">
        <v>121820</v>
      </c>
      <c r="O90" s="62">
        <v>121820</v>
      </c>
      <c r="P90" s="62">
        <v>121820</v>
      </c>
      <c r="Q90" s="62">
        <v>121820</v>
      </c>
      <c r="R90" s="62">
        <v>487280</v>
      </c>
      <c r="S90" s="61">
        <f t="shared" si="24"/>
        <v>1218200</v>
      </c>
      <c r="T90" s="61">
        <f t="shared" si="25"/>
        <v>0</v>
      </c>
      <c r="U90" s="61"/>
    </row>
    <row r="91" spans="1:22" customFormat="1" ht="15" hidden="1" x14ac:dyDescent="0.25">
      <c r="A91" s="67">
        <v>1</v>
      </c>
      <c r="B91" s="67" t="s">
        <v>70</v>
      </c>
      <c r="C91" s="66">
        <v>24</v>
      </c>
      <c r="D91" s="66">
        <v>2403113</v>
      </c>
      <c r="E91" s="66" t="s">
        <v>111</v>
      </c>
      <c r="F91" s="66" t="s">
        <v>81</v>
      </c>
      <c r="G91" s="65" t="s">
        <v>67</v>
      </c>
      <c r="H91" s="64"/>
      <c r="I91" s="63"/>
      <c r="J91" s="64"/>
      <c r="K91" s="63"/>
      <c r="L91" s="63"/>
      <c r="M91" s="74"/>
      <c r="N91" s="74"/>
      <c r="O91" s="62"/>
      <c r="P91" s="68">
        <f>J84</f>
        <v>32872988</v>
      </c>
      <c r="Q91" s="62"/>
      <c r="R91" s="62"/>
      <c r="S91" s="61">
        <f t="shared" si="24"/>
        <v>32872988</v>
      </c>
      <c r="T91" s="61">
        <f t="shared" si="25"/>
        <v>-32872988</v>
      </c>
      <c r="U91" s="61"/>
    </row>
    <row r="92" spans="1:22" s="54" customFormat="1" ht="38.25" hidden="1" x14ac:dyDescent="0.2">
      <c r="A92" s="60">
        <v>1</v>
      </c>
      <c r="B92" s="60" t="s">
        <v>66</v>
      </c>
      <c r="C92" s="59">
        <v>24</v>
      </c>
      <c r="D92" s="59">
        <v>24</v>
      </c>
      <c r="E92" s="59" t="s">
        <v>111</v>
      </c>
      <c r="F92" s="71" t="s">
        <v>78</v>
      </c>
      <c r="G92" s="59" t="s">
        <v>79</v>
      </c>
      <c r="H92" s="58">
        <v>18000000</v>
      </c>
      <c r="I92" s="58">
        <v>0</v>
      </c>
      <c r="J92" s="58">
        <v>18000000</v>
      </c>
      <c r="K92" s="58">
        <v>0</v>
      </c>
      <c r="L92" s="58">
        <v>0</v>
      </c>
      <c r="M92" s="58">
        <f t="shared" ref="M92:R92" si="26">SUM(M93:M93)</f>
        <v>0</v>
      </c>
      <c r="N92" s="58">
        <f t="shared" si="26"/>
        <v>0</v>
      </c>
      <c r="O92" s="58">
        <f t="shared" si="26"/>
        <v>0</v>
      </c>
      <c r="P92" s="58">
        <f t="shared" si="26"/>
        <v>18000000</v>
      </c>
      <c r="Q92" s="58">
        <f t="shared" si="26"/>
        <v>0</v>
      </c>
      <c r="R92" s="58">
        <f t="shared" si="26"/>
        <v>0</v>
      </c>
      <c r="S92" s="57">
        <f t="shared" si="24"/>
        <v>18000000</v>
      </c>
      <c r="T92" s="57">
        <f>H92-S92</f>
        <v>0</v>
      </c>
      <c r="U92" s="57"/>
    </row>
    <row r="93" spans="1:22" customFormat="1" ht="22.5" hidden="1" x14ac:dyDescent="0.25">
      <c r="A93" s="67">
        <v>1</v>
      </c>
      <c r="B93" s="67" t="s">
        <v>70</v>
      </c>
      <c r="C93" s="66">
        <v>24</v>
      </c>
      <c r="D93" s="66">
        <v>2403113</v>
      </c>
      <c r="E93" s="66" t="s">
        <v>111</v>
      </c>
      <c r="F93" s="65" t="s">
        <v>78</v>
      </c>
      <c r="G93" s="65" t="s">
        <v>67</v>
      </c>
      <c r="H93" s="64"/>
      <c r="I93" s="63"/>
      <c r="J93" s="64"/>
      <c r="K93" s="63"/>
      <c r="L93" s="63"/>
      <c r="M93" s="53"/>
      <c r="N93" s="53"/>
      <c r="O93" s="62"/>
      <c r="P93" s="68">
        <v>18000000</v>
      </c>
      <c r="Q93" s="62"/>
      <c r="R93" s="62"/>
      <c r="S93" s="61">
        <f t="shared" si="24"/>
        <v>18000000</v>
      </c>
      <c r="T93" s="61">
        <f>I93-S93</f>
        <v>-18000000</v>
      </c>
      <c r="U93" s="61"/>
    </row>
    <row r="94" spans="1:22" s="54" customFormat="1" hidden="1" x14ac:dyDescent="0.2">
      <c r="A94" s="60">
        <v>1</v>
      </c>
      <c r="B94" s="60" t="s">
        <v>66</v>
      </c>
      <c r="C94" s="59">
        <v>24</v>
      </c>
      <c r="D94" s="59">
        <v>24</v>
      </c>
      <c r="E94" s="59" t="s">
        <v>111</v>
      </c>
      <c r="F94" s="59" t="s">
        <v>65</v>
      </c>
      <c r="G94" s="59" t="s">
        <v>64</v>
      </c>
      <c r="H94" s="58">
        <v>4077108428</v>
      </c>
      <c r="I94" s="58">
        <f>SUM(I95:I142)</f>
        <v>3592309254</v>
      </c>
      <c r="J94" s="58">
        <f>H94-I94</f>
        <v>484799174</v>
      </c>
      <c r="K94" s="58">
        <f t="shared" ref="K94:R94" si="27">SUM(K95:K142)</f>
        <v>750181254</v>
      </c>
      <c r="L94" s="58">
        <f t="shared" si="27"/>
        <v>2842128000</v>
      </c>
      <c r="M94" s="58">
        <f t="shared" si="27"/>
        <v>53136000</v>
      </c>
      <c r="N94" s="58">
        <f t="shared" si="27"/>
        <v>682992000</v>
      </c>
      <c r="O94" s="58">
        <f t="shared" si="27"/>
        <v>2106000000</v>
      </c>
      <c r="P94" s="58">
        <f t="shared" si="27"/>
        <v>484799174</v>
      </c>
      <c r="Q94" s="58">
        <f t="shared" si="27"/>
        <v>0</v>
      </c>
      <c r="R94" s="58">
        <f t="shared" si="27"/>
        <v>0</v>
      </c>
      <c r="S94" s="57">
        <f t="shared" si="24"/>
        <v>4077108428</v>
      </c>
      <c r="T94" s="57">
        <f>H94-S94</f>
        <v>0</v>
      </c>
      <c r="U94" s="57"/>
    </row>
    <row r="95" spans="1:22" customFormat="1" ht="15" hidden="1" x14ac:dyDescent="0.25">
      <c r="A95" s="67">
        <v>1</v>
      </c>
      <c r="B95" s="67" t="s">
        <v>70</v>
      </c>
      <c r="C95" s="66">
        <v>24</v>
      </c>
      <c r="D95" s="66">
        <v>2403113</v>
      </c>
      <c r="E95" s="66" t="s">
        <v>111</v>
      </c>
      <c r="F95" s="66" t="s">
        <v>65</v>
      </c>
      <c r="G95" s="65" t="s">
        <v>67</v>
      </c>
      <c r="H95" s="64"/>
      <c r="I95" s="63"/>
      <c r="J95" s="64"/>
      <c r="K95" s="63"/>
      <c r="L95" s="63">
        <f>I95-K95</f>
        <v>0</v>
      </c>
      <c r="M95" s="74"/>
      <c r="N95" s="74"/>
      <c r="O95" s="74"/>
      <c r="P95" s="68">
        <f>J94</f>
        <v>484799174</v>
      </c>
      <c r="Q95" s="62"/>
      <c r="R95" s="62"/>
      <c r="S95" s="61">
        <f t="shared" si="24"/>
        <v>484799174</v>
      </c>
      <c r="T95" s="61">
        <f t="shared" ref="T95:T142" si="28">I95-S95</f>
        <v>-484799174</v>
      </c>
      <c r="U95" s="61"/>
    </row>
    <row r="96" spans="1:22" customFormat="1" ht="15" hidden="1" x14ac:dyDescent="0.25">
      <c r="A96" s="67">
        <v>1</v>
      </c>
      <c r="B96" s="67" t="s">
        <v>70</v>
      </c>
      <c r="C96" s="66">
        <v>24</v>
      </c>
      <c r="D96" s="66">
        <v>2403113</v>
      </c>
      <c r="E96" s="66" t="s">
        <v>111</v>
      </c>
      <c r="F96" s="66" t="s">
        <v>65</v>
      </c>
      <c r="G96" s="65" t="s">
        <v>157</v>
      </c>
      <c r="H96" s="64"/>
      <c r="I96" s="63">
        <v>750181254</v>
      </c>
      <c r="J96" s="64"/>
      <c r="K96" s="63">
        <v>750181254</v>
      </c>
      <c r="L96" s="63"/>
      <c r="M96" s="62"/>
      <c r="N96" s="62"/>
      <c r="O96" s="74"/>
      <c r="P96" s="62"/>
      <c r="Q96" s="62"/>
      <c r="R96" s="62"/>
      <c r="S96" s="61">
        <f t="shared" si="24"/>
        <v>750181254</v>
      </c>
      <c r="T96" s="61">
        <f t="shared" si="28"/>
        <v>0</v>
      </c>
      <c r="U96" s="61" t="s">
        <v>73</v>
      </c>
    </row>
    <row r="97" spans="1:24" customFormat="1" ht="22.5" hidden="1" x14ac:dyDescent="0.25">
      <c r="A97" s="67">
        <v>1</v>
      </c>
      <c r="B97" s="67" t="s">
        <v>70</v>
      </c>
      <c r="C97" s="66">
        <v>24</v>
      </c>
      <c r="D97" s="66">
        <v>2403113</v>
      </c>
      <c r="E97" s="66" t="s">
        <v>111</v>
      </c>
      <c r="F97" s="66" t="s">
        <v>65</v>
      </c>
      <c r="G97" s="65" t="s">
        <v>156</v>
      </c>
      <c r="H97" s="64"/>
      <c r="I97" s="63">
        <v>7776000</v>
      </c>
      <c r="J97" s="64"/>
      <c r="K97" s="63"/>
      <c r="L97" s="63">
        <f t="shared" ref="L97:L142" si="29">I97-K97</f>
        <v>7776000</v>
      </c>
      <c r="M97" s="62">
        <v>7776000</v>
      </c>
      <c r="N97" s="62"/>
      <c r="O97" s="62"/>
      <c r="P97" s="62"/>
      <c r="Q97" s="62"/>
      <c r="R97" s="62"/>
      <c r="S97" s="61">
        <f t="shared" si="24"/>
        <v>7776000</v>
      </c>
      <c r="T97" s="61">
        <f t="shared" si="28"/>
        <v>0</v>
      </c>
      <c r="U97" s="61"/>
      <c r="X97" t="str">
        <f>CONCATENATE(V97,"-",W97)</f>
        <v>-</v>
      </c>
    </row>
    <row r="98" spans="1:24" customFormat="1" ht="22.5" hidden="1" x14ac:dyDescent="0.25">
      <c r="A98" s="67">
        <v>1</v>
      </c>
      <c r="B98" s="67" t="s">
        <v>70</v>
      </c>
      <c r="C98" s="66">
        <v>24</v>
      </c>
      <c r="D98" s="66">
        <v>2403113</v>
      </c>
      <c r="E98" s="66" t="s">
        <v>111</v>
      </c>
      <c r="F98" s="66" t="s">
        <v>65</v>
      </c>
      <c r="G98" s="65" t="s">
        <v>155</v>
      </c>
      <c r="H98" s="64"/>
      <c r="I98" s="63">
        <v>10368000</v>
      </c>
      <c r="J98" s="64"/>
      <c r="K98" s="63"/>
      <c r="L98" s="63">
        <f t="shared" si="29"/>
        <v>10368000</v>
      </c>
      <c r="M98" s="62">
        <v>10368000</v>
      </c>
      <c r="N98" s="62"/>
      <c r="O98" s="62"/>
      <c r="P98" s="62"/>
      <c r="Q98" s="62"/>
      <c r="R98" s="62"/>
      <c r="S98" s="61">
        <f t="shared" si="24"/>
        <v>10368000</v>
      </c>
      <c r="T98" s="61">
        <f t="shared" si="28"/>
        <v>0</v>
      </c>
      <c r="U98" s="61"/>
      <c r="X98" t="str">
        <f>CONCATENATE(V98,"-",W98)</f>
        <v>-</v>
      </c>
    </row>
    <row r="99" spans="1:24" customFormat="1" ht="22.5" hidden="1" x14ac:dyDescent="0.25">
      <c r="A99" s="67">
        <v>1</v>
      </c>
      <c r="B99" s="67" t="s">
        <v>70</v>
      </c>
      <c r="C99" s="66">
        <v>24</v>
      </c>
      <c r="D99" s="66">
        <v>2403113</v>
      </c>
      <c r="E99" s="66" t="s">
        <v>111</v>
      </c>
      <c r="F99" s="66" t="s">
        <v>65</v>
      </c>
      <c r="G99" s="65" t="s">
        <v>154</v>
      </c>
      <c r="H99" s="64"/>
      <c r="I99" s="63">
        <v>7776000</v>
      </c>
      <c r="J99" s="64"/>
      <c r="K99" s="63"/>
      <c r="L99" s="63">
        <f t="shared" si="29"/>
        <v>7776000</v>
      </c>
      <c r="M99" s="62">
        <v>7776000</v>
      </c>
      <c r="N99" s="62"/>
      <c r="O99" s="62"/>
      <c r="P99" s="62"/>
      <c r="Q99" s="62"/>
      <c r="R99" s="62"/>
      <c r="S99" s="61">
        <f t="shared" si="24"/>
        <v>7776000</v>
      </c>
      <c r="T99" s="61">
        <f t="shared" si="28"/>
        <v>0</v>
      </c>
      <c r="U99" s="61"/>
      <c r="X99" t="str">
        <f>CONCATENATE(V99,"-",W99)</f>
        <v>-</v>
      </c>
    </row>
    <row r="100" spans="1:24" customFormat="1" ht="22.5" hidden="1" x14ac:dyDescent="0.25">
      <c r="A100" s="67">
        <v>1</v>
      </c>
      <c r="B100" s="67" t="s">
        <v>70</v>
      </c>
      <c r="C100" s="66">
        <v>24</v>
      </c>
      <c r="D100" s="66">
        <v>2403113</v>
      </c>
      <c r="E100" s="66" t="s">
        <v>111</v>
      </c>
      <c r="F100" s="66" t="s">
        <v>65</v>
      </c>
      <c r="G100" s="65" t="s">
        <v>153</v>
      </c>
      <c r="H100" s="64"/>
      <c r="I100" s="63">
        <v>9072000</v>
      </c>
      <c r="J100" s="64"/>
      <c r="K100" s="63"/>
      <c r="L100" s="63">
        <f t="shared" si="29"/>
        <v>9072000</v>
      </c>
      <c r="M100" s="74"/>
      <c r="N100" s="62">
        <v>9072000</v>
      </c>
      <c r="O100" s="62"/>
      <c r="P100" s="62"/>
      <c r="Q100" s="62"/>
      <c r="R100" s="62"/>
      <c r="S100" s="61">
        <f t="shared" si="24"/>
        <v>9072000</v>
      </c>
      <c r="T100" s="61">
        <f t="shared" si="28"/>
        <v>0</v>
      </c>
      <c r="U100" s="61"/>
      <c r="X100" t="str">
        <f>CONCATENATE(V100,"-",W100)</f>
        <v>-</v>
      </c>
    </row>
    <row r="101" spans="1:24" customFormat="1" ht="22.5" hidden="1" x14ac:dyDescent="0.25">
      <c r="A101" s="67">
        <v>1</v>
      </c>
      <c r="B101" s="67" t="s">
        <v>70</v>
      </c>
      <c r="C101" s="66">
        <v>24</v>
      </c>
      <c r="D101" s="66">
        <v>2403113</v>
      </c>
      <c r="E101" s="66" t="s">
        <v>111</v>
      </c>
      <c r="F101" s="66" t="s">
        <v>65</v>
      </c>
      <c r="G101" s="65" t="s">
        <v>152</v>
      </c>
      <c r="H101" s="64"/>
      <c r="I101" s="63">
        <v>6480000</v>
      </c>
      <c r="J101" s="64"/>
      <c r="K101" s="63"/>
      <c r="L101" s="63">
        <f t="shared" si="29"/>
        <v>6480000</v>
      </c>
      <c r="M101" s="74"/>
      <c r="N101" s="62">
        <v>6480000</v>
      </c>
      <c r="O101" s="62"/>
      <c r="P101" s="62"/>
      <c r="Q101" s="62"/>
      <c r="R101" s="62"/>
      <c r="S101" s="61">
        <f t="shared" si="24"/>
        <v>6480000</v>
      </c>
      <c r="T101" s="61">
        <f t="shared" si="28"/>
        <v>0</v>
      </c>
      <c r="U101" s="61"/>
      <c r="X101" t="str">
        <f>CONCATENATE(V101,"-",W101)</f>
        <v>-</v>
      </c>
    </row>
    <row r="102" spans="1:24" customFormat="1" ht="22.5" hidden="1" x14ac:dyDescent="0.25">
      <c r="A102" s="67">
        <v>1</v>
      </c>
      <c r="B102" s="67" t="s">
        <v>70</v>
      </c>
      <c r="C102" s="66">
        <v>24</v>
      </c>
      <c r="D102" s="66">
        <v>2403113</v>
      </c>
      <c r="E102" s="66" t="s">
        <v>111</v>
      </c>
      <c r="F102" s="66" t="s">
        <v>65</v>
      </c>
      <c r="G102" s="65" t="s">
        <v>151</v>
      </c>
      <c r="H102" s="64"/>
      <c r="I102" s="63">
        <v>9072000</v>
      </c>
      <c r="J102" s="64"/>
      <c r="K102" s="63"/>
      <c r="L102" s="63">
        <f t="shared" si="29"/>
        <v>9072000</v>
      </c>
      <c r="M102" s="62">
        <v>9072000</v>
      </c>
      <c r="N102" s="62"/>
      <c r="O102" s="62"/>
      <c r="P102" s="62"/>
      <c r="Q102" s="62"/>
      <c r="R102" s="62"/>
      <c r="S102" s="61">
        <f t="shared" si="24"/>
        <v>9072000</v>
      </c>
      <c r="T102" s="61">
        <f t="shared" si="28"/>
        <v>0</v>
      </c>
      <c r="U102" s="61"/>
    </row>
    <row r="103" spans="1:24" customFormat="1" ht="22.5" hidden="1" x14ac:dyDescent="0.25">
      <c r="A103" s="67">
        <v>1</v>
      </c>
      <c r="B103" s="67" t="s">
        <v>70</v>
      </c>
      <c r="C103" s="66">
        <v>24</v>
      </c>
      <c r="D103" s="66">
        <v>2403113</v>
      </c>
      <c r="E103" s="66" t="s">
        <v>111</v>
      </c>
      <c r="F103" s="66" t="s">
        <v>65</v>
      </c>
      <c r="G103" s="65" t="s">
        <v>150</v>
      </c>
      <c r="H103" s="64"/>
      <c r="I103" s="63">
        <v>3888000</v>
      </c>
      <c r="J103" s="64"/>
      <c r="K103" s="63"/>
      <c r="L103" s="63">
        <f t="shared" si="29"/>
        <v>3888000</v>
      </c>
      <c r="M103" s="62">
        <v>3888000</v>
      </c>
      <c r="N103" s="62"/>
      <c r="O103" s="62"/>
      <c r="P103" s="62"/>
      <c r="Q103" s="62"/>
      <c r="R103" s="62"/>
      <c r="S103" s="61">
        <f t="shared" si="24"/>
        <v>3888000</v>
      </c>
      <c r="T103" s="61">
        <f t="shared" si="28"/>
        <v>0</v>
      </c>
      <c r="U103" s="61"/>
    </row>
    <row r="104" spans="1:24" customFormat="1" ht="22.5" hidden="1" x14ac:dyDescent="0.25">
      <c r="A104" s="67">
        <v>1</v>
      </c>
      <c r="B104" s="67" t="s">
        <v>70</v>
      </c>
      <c r="C104" s="66">
        <v>24</v>
      </c>
      <c r="D104" s="66">
        <v>2403113</v>
      </c>
      <c r="E104" s="66" t="s">
        <v>111</v>
      </c>
      <c r="F104" s="66" t="s">
        <v>65</v>
      </c>
      <c r="G104" s="65" t="s">
        <v>149</v>
      </c>
      <c r="H104" s="64"/>
      <c r="I104" s="63">
        <v>9072000</v>
      </c>
      <c r="J104" s="64"/>
      <c r="K104" s="63"/>
      <c r="L104" s="63">
        <f t="shared" si="29"/>
        <v>9072000</v>
      </c>
      <c r="M104" s="74"/>
      <c r="N104" s="68">
        <v>9072000</v>
      </c>
      <c r="O104" s="62"/>
      <c r="P104" s="62"/>
      <c r="Q104" s="62"/>
      <c r="R104" s="62"/>
      <c r="S104" s="61">
        <f t="shared" si="24"/>
        <v>9072000</v>
      </c>
      <c r="T104" s="61">
        <f t="shared" si="28"/>
        <v>0</v>
      </c>
      <c r="U104" s="61"/>
    </row>
    <row r="105" spans="1:24" customFormat="1" ht="22.5" hidden="1" x14ac:dyDescent="0.25">
      <c r="A105" s="67">
        <v>1</v>
      </c>
      <c r="B105" s="67" t="s">
        <v>70</v>
      </c>
      <c r="C105" s="66">
        <v>24</v>
      </c>
      <c r="D105" s="66">
        <v>2403113</v>
      </c>
      <c r="E105" s="66" t="s">
        <v>111</v>
      </c>
      <c r="F105" s="66" t="s">
        <v>65</v>
      </c>
      <c r="G105" s="65" t="s">
        <v>148</v>
      </c>
      <c r="H105" s="64"/>
      <c r="I105" s="63">
        <v>7776000</v>
      </c>
      <c r="J105" s="64"/>
      <c r="K105" s="63"/>
      <c r="L105" s="63">
        <f t="shared" si="29"/>
        <v>7776000</v>
      </c>
      <c r="M105" s="74"/>
      <c r="N105" s="62">
        <v>7776000</v>
      </c>
      <c r="O105" s="62"/>
      <c r="P105" s="62"/>
      <c r="Q105" s="62"/>
      <c r="R105" s="62"/>
      <c r="S105" s="61">
        <f t="shared" si="24"/>
        <v>7776000</v>
      </c>
      <c r="T105" s="61">
        <f t="shared" si="28"/>
        <v>0</v>
      </c>
      <c r="U105" s="61"/>
    </row>
    <row r="106" spans="1:24" customFormat="1" ht="21" hidden="1" customHeight="1" x14ac:dyDescent="0.25">
      <c r="A106" s="67">
        <v>1</v>
      </c>
      <c r="B106" s="67" t="s">
        <v>70</v>
      </c>
      <c r="C106" s="66">
        <v>24</v>
      </c>
      <c r="D106" s="66">
        <v>2403113</v>
      </c>
      <c r="E106" s="66" t="s">
        <v>111</v>
      </c>
      <c r="F106" s="66" t="s">
        <v>65</v>
      </c>
      <c r="G106" s="65" t="s">
        <v>147</v>
      </c>
      <c r="H106" s="64"/>
      <c r="I106" s="63">
        <v>7776000</v>
      </c>
      <c r="J106" s="64"/>
      <c r="K106" s="63"/>
      <c r="L106" s="63">
        <f t="shared" si="29"/>
        <v>7776000</v>
      </c>
      <c r="M106" s="62">
        <v>7776000</v>
      </c>
      <c r="N106" s="62"/>
      <c r="O106" s="62"/>
      <c r="P106" s="62"/>
      <c r="Q106" s="62"/>
      <c r="R106" s="62"/>
      <c r="S106" s="61">
        <f t="shared" si="24"/>
        <v>7776000</v>
      </c>
      <c r="T106" s="61">
        <f t="shared" si="28"/>
        <v>0</v>
      </c>
      <c r="U106" s="61"/>
    </row>
    <row r="107" spans="1:24" customFormat="1" ht="22.5" hidden="1" x14ac:dyDescent="0.25">
      <c r="A107" s="67">
        <v>1</v>
      </c>
      <c r="B107" s="67" t="s">
        <v>70</v>
      </c>
      <c r="C107" s="66">
        <v>24</v>
      </c>
      <c r="D107" s="66">
        <v>2403113</v>
      </c>
      <c r="E107" s="66" t="s">
        <v>111</v>
      </c>
      <c r="F107" s="66" t="s">
        <v>65</v>
      </c>
      <c r="G107" s="65" t="s">
        <v>146</v>
      </c>
      <c r="H107" s="64"/>
      <c r="I107" s="63">
        <v>6480000</v>
      </c>
      <c r="J107" s="64"/>
      <c r="K107" s="63"/>
      <c r="L107" s="63">
        <f t="shared" si="29"/>
        <v>6480000</v>
      </c>
      <c r="M107" s="62">
        <v>6480000</v>
      </c>
      <c r="N107" s="62"/>
      <c r="O107" s="62"/>
      <c r="P107" s="62"/>
      <c r="Q107" s="62"/>
      <c r="R107" s="62"/>
      <c r="S107" s="61">
        <f t="shared" si="24"/>
        <v>6480000</v>
      </c>
      <c r="T107" s="61">
        <f t="shared" si="28"/>
        <v>0</v>
      </c>
      <c r="U107" s="61"/>
    </row>
    <row r="108" spans="1:24" customFormat="1" ht="22.5" hidden="1" x14ac:dyDescent="0.25">
      <c r="A108" s="67">
        <v>1</v>
      </c>
      <c r="B108" s="67" t="s">
        <v>70</v>
      </c>
      <c r="C108" s="66">
        <v>24</v>
      </c>
      <c r="D108" s="66">
        <v>2403113</v>
      </c>
      <c r="E108" s="66" t="s">
        <v>111</v>
      </c>
      <c r="F108" s="66" t="s">
        <v>65</v>
      </c>
      <c r="G108" s="65" t="s">
        <v>145</v>
      </c>
      <c r="H108" s="64"/>
      <c r="I108" s="63">
        <v>2592000</v>
      </c>
      <c r="J108" s="64"/>
      <c r="K108" s="63"/>
      <c r="L108" s="63">
        <f t="shared" si="29"/>
        <v>2592000</v>
      </c>
      <c r="M108" s="53"/>
      <c r="N108" s="62">
        <v>2592000</v>
      </c>
      <c r="O108" s="62"/>
      <c r="P108" s="62"/>
      <c r="Q108" s="62"/>
      <c r="R108" s="62"/>
      <c r="S108" s="61">
        <f t="shared" si="24"/>
        <v>2592000</v>
      </c>
      <c r="T108" s="61">
        <f t="shared" si="28"/>
        <v>0</v>
      </c>
      <c r="U108" s="61"/>
    </row>
    <row r="109" spans="1:24" customFormat="1" ht="22.5" hidden="1" x14ac:dyDescent="0.25">
      <c r="A109" s="67">
        <v>1</v>
      </c>
      <c r="B109" s="67" t="s">
        <v>70</v>
      </c>
      <c r="C109" s="66">
        <v>24</v>
      </c>
      <c r="D109" s="66">
        <v>2403113</v>
      </c>
      <c r="E109" s="66" t="s">
        <v>111</v>
      </c>
      <c r="F109" s="66" t="s">
        <v>65</v>
      </c>
      <c r="G109" s="65" t="s">
        <v>144</v>
      </c>
      <c r="H109" s="64"/>
      <c r="I109" s="63">
        <v>81000000</v>
      </c>
      <c r="J109" s="64"/>
      <c r="K109" s="63"/>
      <c r="L109" s="63">
        <f t="shared" si="29"/>
        <v>81000000</v>
      </c>
      <c r="M109" s="81"/>
      <c r="N109" s="62"/>
      <c r="O109" s="62">
        <v>81000000</v>
      </c>
      <c r="P109" s="62"/>
      <c r="Q109" s="62"/>
      <c r="R109" s="62"/>
      <c r="S109" s="61">
        <f t="shared" si="24"/>
        <v>81000000</v>
      </c>
      <c r="T109" s="61">
        <f t="shared" si="28"/>
        <v>0</v>
      </c>
      <c r="U109" s="61"/>
    </row>
    <row r="110" spans="1:24" customFormat="1" ht="22.5" hidden="1" x14ac:dyDescent="0.25">
      <c r="A110" s="67">
        <v>1</v>
      </c>
      <c r="B110" s="67" t="s">
        <v>70</v>
      </c>
      <c r="C110" s="66">
        <v>24</v>
      </c>
      <c r="D110" s="66">
        <v>2403113</v>
      </c>
      <c r="E110" s="66" t="s">
        <v>111</v>
      </c>
      <c r="F110" s="66" t="s">
        <v>65</v>
      </c>
      <c r="G110" s="65" t="s">
        <v>143</v>
      </c>
      <c r="H110" s="64"/>
      <c r="I110" s="63">
        <v>81000000</v>
      </c>
      <c r="J110" s="64"/>
      <c r="K110" s="63"/>
      <c r="L110" s="63">
        <f t="shared" si="29"/>
        <v>81000000</v>
      </c>
      <c r="M110" s="81"/>
      <c r="N110" s="62"/>
      <c r="O110" s="62">
        <v>81000000</v>
      </c>
      <c r="P110" s="62"/>
      <c r="Q110" s="62"/>
      <c r="R110" s="62"/>
      <c r="S110" s="61">
        <f t="shared" si="24"/>
        <v>81000000</v>
      </c>
      <c r="T110" s="61">
        <f t="shared" si="28"/>
        <v>0</v>
      </c>
      <c r="U110" s="61"/>
    </row>
    <row r="111" spans="1:24" customFormat="1" ht="22.5" hidden="1" x14ac:dyDescent="0.25">
      <c r="A111" s="67">
        <v>1</v>
      </c>
      <c r="B111" s="67" t="s">
        <v>70</v>
      </c>
      <c r="C111" s="66">
        <v>24</v>
      </c>
      <c r="D111" s="66">
        <v>2403113</v>
      </c>
      <c r="E111" s="66" t="s">
        <v>111</v>
      </c>
      <c r="F111" s="66" t="s">
        <v>65</v>
      </c>
      <c r="G111" s="65" t="s">
        <v>142</v>
      </c>
      <c r="H111" s="64"/>
      <c r="I111" s="63">
        <v>81000000</v>
      </c>
      <c r="J111" s="64"/>
      <c r="K111" s="63"/>
      <c r="L111" s="63">
        <f t="shared" si="29"/>
        <v>81000000</v>
      </c>
      <c r="M111" s="81"/>
      <c r="N111" s="62"/>
      <c r="O111" s="62">
        <v>81000000</v>
      </c>
      <c r="P111" s="62"/>
      <c r="Q111" s="62"/>
      <c r="R111" s="62"/>
      <c r="S111" s="61">
        <f t="shared" si="24"/>
        <v>81000000</v>
      </c>
      <c r="T111" s="61">
        <f t="shared" si="28"/>
        <v>0</v>
      </c>
      <c r="U111" s="61"/>
    </row>
    <row r="112" spans="1:24" customFormat="1" ht="22.5" hidden="1" x14ac:dyDescent="0.25">
      <c r="A112" s="67">
        <v>1</v>
      </c>
      <c r="B112" s="67" t="s">
        <v>70</v>
      </c>
      <c r="C112" s="66">
        <v>24</v>
      </c>
      <c r="D112" s="66">
        <v>2403113</v>
      </c>
      <c r="E112" s="66" t="s">
        <v>111</v>
      </c>
      <c r="F112" s="66" t="s">
        <v>65</v>
      </c>
      <c r="G112" s="65" t="s">
        <v>141</v>
      </c>
      <c r="H112" s="64"/>
      <c r="I112" s="63">
        <v>81000000</v>
      </c>
      <c r="J112" s="64"/>
      <c r="K112" s="63"/>
      <c r="L112" s="63">
        <f t="shared" si="29"/>
        <v>81000000</v>
      </c>
      <c r="M112" s="81"/>
      <c r="N112" s="62">
        <v>81000000</v>
      </c>
      <c r="O112" s="62"/>
      <c r="P112" s="62"/>
      <c r="Q112" s="62"/>
      <c r="R112" s="62"/>
      <c r="S112" s="61">
        <f t="shared" si="24"/>
        <v>81000000</v>
      </c>
      <c r="T112" s="61">
        <f t="shared" si="28"/>
        <v>0</v>
      </c>
      <c r="U112" s="61"/>
    </row>
    <row r="113" spans="1:21" customFormat="1" ht="22.5" hidden="1" x14ac:dyDescent="0.25">
      <c r="A113" s="67">
        <v>1</v>
      </c>
      <c r="B113" s="67" t="s">
        <v>70</v>
      </c>
      <c r="C113" s="66">
        <v>24</v>
      </c>
      <c r="D113" s="66">
        <v>2403113</v>
      </c>
      <c r="E113" s="66" t="s">
        <v>111</v>
      </c>
      <c r="F113" s="66" t="s">
        <v>65</v>
      </c>
      <c r="G113" s="65" t="s">
        <v>140</v>
      </c>
      <c r="H113" s="64"/>
      <c r="I113" s="63">
        <v>81000000</v>
      </c>
      <c r="J113" s="64"/>
      <c r="K113" s="63"/>
      <c r="L113" s="63">
        <f t="shared" si="29"/>
        <v>81000000</v>
      </c>
      <c r="M113" s="81"/>
      <c r="N113" s="62"/>
      <c r="O113" s="62">
        <v>81000000</v>
      </c>
      <c r="P113" s="62"/>
      <c r="Q113" s="62"/>
      <c r="R113" s="62"/>
      <c r="S113" s="61">
        <f t="shared" si="24"/>
        <v>81000000</v>
      </c>
      <c r="T113" s="61">
        <f t="shared" si="28"/>
        <v>0</v>
      </c>
      <c r="U113" s="61"/>
    </row>
    <row r="114" spans="1:21" customFormat="1" ht="22.5" hidden="1" x14ac:dyDescent="0.25">
      <c r="A114" s="67">
        <v>1</v>
      </c>
      <c r="B114" s="67" t="s">
        <v>70</v>
      </c>
      <c r="C114" s="66">
        <v>24</v>
      </c>
      <c r="D114" s="66">
        <v>2403113</v>
      </c>
      <c r="E114" s="66" t="s">
        <v>111</v>
      </c>
      <c r="F114" s="66" t="s">
        <v>65</v>
      </c>
      <c r="G114" s="65" t="s">
        <v>139</v>
      </c>
      <c r="H114" s="64"/>
      <c r="I114" s="63">
        <v>81000000</v>
      </c>
      <c r="J114" s="64"/>
      <c r="K114" s="63"/>
      <c r="L114" s="63">
        <f t="shared" si="29"/>
        <v>81000000</v>
      </c>
      <c r="M114" s="81"/>
      <c r="N114" s="62"/>
      <c r="O114" s="62">
        <v>81000000</v>
      </c>
      <c r="P114" s="62"/>
      <c r="Q114" s="62"/>
      <c r="R114" s="62"/>
      <c r="S114" s="61">
        <f t="shared" si="24"/>
        <v>81000000</v>
      </c>
      <c r="T114" s="61">
        <f t="shared" si="28"/>
        <v>0</v>
      </c>
      <c r="U114" s="61"/>
    </row>
    <row r="115" spans="1:21" customFormat="1" ht="22.5" hidden="1" x14ac:dyDescent="0.25">
      <c r="A115" s="67">
        <v>1</v>
      </c>
      <c r="B115" s="67" t="s">
        <v>70</v>
      </c>
      <c r="C115" s="66">
        <v>24</v>
      </c>
      <c r="D115" s="66">
        <v>2403113</v>
      </c>
      <c r="E115" s="66" t="s">
        <v>111</v>
      </c>
      <c r="F115" s="66" t="s">
        <v>65</v>
      </c>
      <c r="G115" s="65" t="s">
        <v>138</v>
      </c>
      <c r="H115" s="64"/>
      <c r="I115" s="63">
        <v>81000000</v>
      </c>
      <c r="J115" s="64"/>
      <c r="K115" s="63"/>
      <c r="L115" s="63">
        <f t="shared" si="29"/>
        <v>81000000</v>
      </c>
      <c r="M115" s="62"/>
      <c r="N115" s="62">
        <v>81000000</v>
      </c>
      <c r="O115" s="62"/>
      <c r="P115" s="62"/>
      <c r="Q115" s="62"/>
      <c r="R115" s="62"/>
      <c r="S115" s="61">
        <f t="shared" si="24"/>
        <v>81000000</v>
      </c>
      <c r="T115" s="61">
        <f t="shared" si="28"/>
        <v>0</v>
      </c>
      <c r="U115" s="61"/>
    </row>
    <row r="116" spans="1:21" customFormat="1" ht="22.5" hidden="1" x14ac:dyDescent="0.25">
      <c r="A116" s="67">
        <v>1</v>
      </c>
      <c r="B116" s="67" t="s">
        <v>70</v>
      </c>
      <c r="C116" s="66">
        <v>24</v>
      </c>
      <c r="D116" s="66">
        <v>2403113</v>
      </c>
      <c r="E116" s="66" t="s">
        <v>111</v>
      </c>
      <c r="F116" s="66" t="s">
        <v>65</v>
      </c>
      <c r="G116" s="65" t="s">
        <v>137</v>
      </c>
      <c r="H116" s="64"/>
      <c r="I116" s="63">
        <v>81000000</v>
      </c>
      <c r="J116" s="64"/>
      <c r="K116" s="63"/>
      <c r="L116" s="63">
        <f t="shared" si="29"/>
        <v>81000000</v>
      </c>
      <c r="M116" s="81"/>
      <c r="N116" s="62"/>
      <c r="O116" s="62">
        <v>81000000</v>
      </c>
      <c r="P116" s="62"/>
      <c r="Q116" s="62"/>
      <c r="R116" s="62"/>
      <c r="S116" s="61">
        <f t="shared" si="24"/>
        <v>81000000</v>
      </c>
      <c r="T116" s="61">
        <f t="shared" si="28"/>
        <v>0</v>
      </c>
      <c r="U116" s="61"/>
    </row>
    <row r="117" spans="1:21" customFormat="1" ht="22.5" hidden="1" x14ac:dyDescent="0.25">
      <c r="A117" s="67">
        <v>1</v>
      </c>
      <c r="B117" s="67" t="s">
        <v>70</v>
      </c>
      <c r="C117" s="66">
        <v>24</v>
      </c>
      <c r="D117" s="66">
        <v>2403113</v>
      </c>
      <c r="E117" s="66" t="s">
        <v>111</v>
      </c>
      <c r="F117" s="66" t="s">
        <v>65</v>
      </c>
      <c r="G117" s="65" t="s">
        <v>136</v>
      </c>
      <c r="H117" s="64"/>
      <c r="I117" s="63">
        <v>81000000</v>
      </c>
      <c r="J117" s="64"/>
      <c r="K117" s="63"/>
      <c r="L117" s="63">
        <f t="shared" si="29"/>
        <v>81000000</v>
      </c>
      <c r="M117" s="81"/>
      <c r="N117" s="62"/>
      <c r="O117" s="62">
        <v>81000000</v>
      </c>
      <c r="P117" s="62"/>
      <c r="Q117" s="62"/>
      <c r="R117" s="62"/>
      <c r="S117" s="61">
        <f t="shared" si="24"/>
        <v>81000000</v>
      </c>
      <c r="T117" s="61">
        <f t="shared" si="28"/>
        <v>0</v>
      </c>
      <c r="U117" s="61"/>
    </row>
    <row r="118" spans="1:21" customFormat="1" ht="22.5" hidden="1" x14ac:dyDescent="0.25">
      <c r="A118" s="67">
        <v>1</v>
      </c>
      <c r="B118" s="67" t="s">
        <v>70</v>
      </c>
      <c r="C118" s="66">
        <v>24</v>
      </c>
      <c r="D118" s="66">
        <v>2403113</v>
      </c>
      <c r="E118" s="66" t="s">
        <v>111</v>
      </c>
      <c r="F118" s="66" t="s">
        <v>65</v>
      </c>
      <c r="G118" s="65" t="s">
        <v>135</v>
      </c>
      <c r="H118" s="64"/>
      <c r="I118" s="63">
        <v>81000000</v>
      </c>
      <c r="J118" s="64"/>
      <c r="K118" s="63"/>
      <c r="L118" s="63">
        <f t="shared" si="29"/>
        <v>81000000</v>
      </c>
      <c r="M118" s="81"/>
      <c r="N118" s="62"/>
      <c r="O118" s="62">
        <v>81000000</v>
      </c>
      <c r="P118" s="62"/>
      <c r="Q118" s="62"/>
      <c r="R118" s="62"/>
      <c r="S118" s="61">
        <f t="shared" ref="S118:S142" si="30">SUM(K118:R118)-L118</f>
        <v>81000000</v>
      </c>
      <c r="T118" s="61">
        <f t="shared" si="28"/>
        <v>0</v>
      </c>
      <c r="U118" s="61"/>
    </row>
    <row r="119" spans="1:21" customFormat="1" ht="22.5" hidden="1" x14ac:dyDescent="0.25">
      <c r="A119" s="67">
        <v>1</v>
      </c>
      <c r="B119" s="67" t="s">
        <v>70</v>
      </c>
      <c r="C119" s="66">
        <v>24</v>
      </c>
      <c r="D119" s="66">
        <v>2403113</v>
      </c>
      <c r="E119" s="66" t="s">
        <v>111</v>
      </c>
      <c r="F119" s="66" t="s">
        <v>65</v>
      </c>
      <c r="G119" s="65" t="s">
        <v>134</v>
      </c>
      <c r="H119" s="64"/>
      <c r="I119" s="63">
        <v>81000000</v>
      </c>
      <c r="J119" s="64"/>
      <c r="K119" s="63"/>
      <c r="L119" s="63">
        <f t="shared" si="29"/>
        <v>81000000</v>
      </c>
      <c r="M119" s="81"/>
      <c r="N119" s="62">
        <v>81000000</v>
      </c>
      <c r="O119" s="53"/>
      <c r="P119" s="62"/>
      <c r="Q119" s="62"/>
      <c r="R119" s="62"/>
      <c r="S119" s="61">
        <f t="shared" si="30"/>
        <v>81000000</v>
      </c>
      <c r="T119" s="61">
        <f t="shared" si="28"/>
        <v>0</v>
      </c>
      <c r="U119" s="61"/>
    </row>
    <row r="120" spans="1:21" customFormat="1" ht="22.5" hidden="1" x14ac:dyDescent="0.25">
      <c r="A120" s="67">
        <v>1</v>
      </c>
      <c r="B120" s="67" t="s">
        <v>70</v>
      </c>
      <c r="C120" s="66">
        <v>24</v>
      </c>
      <c r="D120" s="66">
        <v>2403113</v>
      </c>
      <c r="E120" s="66" t="s">
        <v>111</v>
      </c>
      <c r="F120" s="66" t="s">
        <v>65</v>
      </c>
      <c r="G120" s="65" t="s">
        <v>133</v>
      </c>
      <c r="H120" s="64"/>
      <c r="I120" s="63">
        <v>81000000</v>
      </c>
      <c r="J120" s="64"/>
      <c r="K120" s="63"/>
      <c r="L120" s="63">
        <f t="shared" si="29"/>
        <v>81000000</v>
      </c>
      <c r="M120" s="81"/>
      <c r="N120" s="62"/>
      <c r="O120" s="62">
        <v>81000000</v>
      </c>
      <c r="P120" s="62"/>
      <c r="Q120" s="62"/>
      <c r="R120" s="62"/>
      <c r="S120" s="61">
        <f t="shared" si="30"/>
        <v>81000000</v>
      </c>
      <c r="T120" s="61">
        <f t="shared" si="28"/>
        <v>0</v>
      </c>
      <c r="U120" s="61"/>
    </row>
    <row r="121" spans="1:21" customFormat="1" ht="22.5" hidden="1" x14ac:dyDescent="0.25">
      <c r="A121" s="67">
        <v>1</v>
      </c>
      <c r="B121" s="67" t="s">
        <v>70</v>
      </c>
      <c r="C121" s="66">
        <v>24</v>
      </c>
      <c r="D121" s="66">
        <v>2403113</v>
      </c>
      <c r="E121" s="66" t="s">
        <v>111</v>
      </c>
      <c r="F121" s="66" t="s">
        <v>65</v>
      </c>
      <c r="G121" s="65" t="s">
        <v>132</v>
      </c>
      <c r="H121" s="64"/>
      <c r="I121" s="63">
        <v>81000000</v>
      </c>
      <c r="J121" s="64"/>
      <c r="K121" s="63"/>
      <c r="L121" s="63">
        <f t="shared" si="29"/>
        <v>81000000</v>
      </c>
      <c r="M121" s="81"/>
      <c r="N121" s="62"/>
      <c r="O121" s="62">
        <v>81000000</v>
      </c>
      <c r="P121" s="62"/>
      <c r="Q121" s="62"/>
      <c r="R121" s="62"/>
      <c r="S121" s="61">
        <f t="shared" si="30"/>
        <v>81000000</v>
      </c>
      <c r="T121" s="61">
        <f t="shared" si="28"/>
        <v>0</v>
      </c>
      <c r="U121" s="61"/>
    </row>
    <row r="122" spans="1:21" customFormat="1" ht="22.5" hidden="1" x14ac:dyDescent="0.25">
      <c r="A122" s="67">
        <v>1</v>
      </c>
      <c r="B122" s="67" t="s">
        <v>70</v>
      </c>
      <c r="C122" s="66">
        <v>24</v>
      </c>
      <c r="D122" s="66">
        <v>2403113</v>
      </c>
      <c r="E122" s="66" t="s">
        <v>111</v>
      </c>
      <c r="F122" s="66" t="s">
        <v>65</v>
      </c>
      <c r="G122" s="65" t="s">
        <v>131</v>
      </c>
      <c r="H122" s="64"/>
      <c r="I122" s="63">
        <v>81000000</v>
      </c>
      <c r="J122" s="64"/>
      <c r="K122" s="63"/>
      <c r="L122" s="63">
        <f t="shared" si="29"/>
        <v>81000000</v>
      </c>
      <c r="M122" s="81"/>
      <c r="N122" s="62"/>
      <c r="O122" s="62">
        <v>81000000</v>
      </c>
      <c r="P122" s="62"/>
      <c r="Q122" s="62"/>
      <c r="R122" s="62"/>
      <c r="S122" s="61">
        <f t="shared" si="30"/>
        <v>81000000</v>
      </c>
      <c r="T122" s="61">
        <f t="shared" si="28"/>
        <v>0</v>
      </c>
      <c r="U122" s="61"/>
    </row>
    <row r="123" spans="1:21" customFormat="1" ht="22.5" hidden="1" x14ac:dyDescent="0.25">
      <c r="A123" s="67">
        <v>1</v>
      </c>
      <c r="B123" s="67" t="s">
        <v>70</v>
      </c>
      <c r="C123" s="66">
        <v>24</v>
      </c>
      <c r="D123" s="66">
        <v>2403113</v>
      </c>
      <c r="E123" s="66" t="s">
        <v>111</v>
      </c>
      <c r="F123" s="66" t="s">
        <v>65</v>
      </c>
      <c r="G123" s="65" t="s">
        <v>130</v>
      </c>
      <c r="H123" s="64"/>
      <c r="I123" s="63">
        <v>81000000</v>
      </c>
      <c r="J123" s="64"/>
      <c r="K123" s="63"/>
      <c r="L123" s="63">
        <f t="shared" si="29"/>
        <v>81000000</v>
      </c>
      <c r="M123" s="81"/>
      <c r="N123" s="62"/>
      <c r="O123" s="62">
        <v>81000000</v>
      </c>
      <c r="P123" s="62"/>
      <c r="Q123" s="62"/>
      <c r="R123" s="62"/>
      <c r="S123" s="61">
        <f t="shared" si="30"/>
        <v>81000000</v>
      </c>
      <c r="T123" s="61">
        <f t="shared" si="28"/>
        <v>0</v>
      </c>
      <c r="U123" s="61"/>
    </row>
    <row r="124" spans="1:21" customFormat="1" ht="22.5" hidden="1" x14ac:dyDescent="0.25">
      <c r="A124" s="67">
        <v>1</v>
      </c>
      <c r="B124" s="67" t="s">
        <v>70</v>
      </c>
      <c r="C124" s="66">
        <v>24</v>
      </c>
      <c r="D124" s="66">
        <v>2403113</v>
      </c>
      <c r="E124" s="66" t="s">
        <v>111</v>
      </c>
      <c r="F124" s="66" t="s">
        <v>65</v>
      </c>
      <c r="G124" s="65" t="s">
        <v>129</v>
      </c>
      <c r="H124" s="64"/>
      <c r="I124" s="63">
        <v>81000000</v>
      </c>
      <c r="J124" s="64"/>
      <c r="K124" s="63"/>
      <c r="L124" s="63">
        <f t="shared" si="29"/>
        <v>81000000</v>
      </c>
      <c r="M124" s="81"/>
      <c r="N124" s="62"/>
      <c r="O124" s="62">
        <v>81000000</v>
      </c>
      <c r="P124" s="62"/>
      <c r="Q124" s="62"/>
      <c r="R124" s="62"/>
      <c r="S124" s="61">
        <f t="shared" si="30"/>
        <v>81000000</v>
      </c>
      <c r="T124" s="61">
        <f t="shared" si="28"/>
        <v>0</v>
      </c>
      <c r="U124" s="61"/>
    </row>
    <row r="125" spans="1:21" customFormat="1" ht="22.5" hidden="1" x14ac:dyDescent="0.25">
      <c r="A125" s="67">
        <v>1</v>
      </c>
      <c r="B125" s="67" t="s">
        <v>70</v>
      </c>
      <c r="C125" s="66">
        <v>24</v>
      </c>
      <c r="D125" s="66">
        <v>2403113</v>
      </c>
      <c r="E125" s="66" t="s">
        <v>111</v>
      </c>
      <c r="F125" s="66" t="s">
        <v>65</v>
      </c>
      <c r="G125" s="65" t="s">
        <v>128</v>
      </c>
      <c r="H125" s="64"/>
      <c r="I125" s="63">
        <v>81000000</v>
      </c>
      <c r="J125" s="64"/>
      <c r="K125" s="63"/>
      <c r="L125" s="63">
        <f t="shared" si="29"/>
        <v>81000000</v>
      </c>
      <c r="M125" s="81"/>
      <c r="N125" s="62"/>
      <c r="O125" s="62">
        <v>81000000</v>
      </c>
      <c r="P125" s="62"/>
      <c r="Q125" s="62"/>
      <c r="R125" s="62"/>
      <c r="S125" s="61">
        <f t="shared" si="30"/>
        <v>81000000</v>
      </c>
      <c r="T125" s="61">
        <f t="shared" si="28"/>
        <v>0</v>
      </c>
      <c r="U125" s="61"/>
    </row>
    <row r="126" spans="1:21" customFormat="1" ht="22.5" hidden="1" x14ac:dyDescent="0.25">
      <c r="A126" s="67">
        <v>1</v>
      </c>
      <c r="B126" s="67" t="s">
        <v>70</v>
      </c>
      <c r="C126" s="66">
        <v>24</v>
      </c>
      <c r="D126" s="66">
        <v>2403113</v>
      </c>
      <c r="E126" s="66" t="s">
        <v>111</v>
      </c>
      <c r="F126" s="66" t="s">
        <v>65</v>
      </c>
      <c r="G126" s="65" t="s">
        <v>127</v>
      </c>
      <c r="H126" s="64"/>
      <c r="I126" s="63">
        <v>81000000</v>
      </c>
      <c r="J126" s="64"/>
      <c r="K126" s="63"/>
      <c r="L126" s="63">
        <f t="shared" si="29"/>
        <v>81000000</v>
      </c>
      <c r="M126" s="62"/>
      <c r="N126" s="62">
        <v>81000000</v>
      </c>
      <c r="O126" s="62"/>
      <c r="P126" s="62"/>
      <c r="Q126" s="62"/>
      <c r="R126" s="62"/>
      <c r="S126" s="61">
        <f t="shared" si="30"/>
        <v>81000000</v>
      </c>
      <c r="T126" s="61">
        <f t="shared" si="28"/>
        <v>0</v>
      </c>
      <c r="U126" s="61"/>
    </row>
    <row r="127" spans="1:21" customFormat="1" ht="22.5" hidden="1" x14ac:dyDescent="0.25">
      <c r="A127" s="67">
        <v>1</v>
      </c>
      <c r="B127" s="67" t="s">
        <v>70</v>
      </c>
      <c r="C127" s="66">
        <v>24</v>
      </c>
      <c r="D127" s="66">
        <v>2403113</v>
      </c>
      <c r="E127" s="66" t="s">
        <v>111</v>
      </c>
      <c r="F127" s="66" t="s">
        <v>65</v>
      </c>
      <c r="G127" s="65" t="s">
        <v>126</v>
      </c>
      <c r="H127" s="64"/>
      <c r="I127" s="63">
        <v>81000000</v>
      </c>
      <c r="J127" s="64"/>
      <c r="K127" s="63"/>
      <c r="L127" s="63">
        <f t="shared" si="29"/>
        <v>81000000</v>
      </c>
      <c r="M127" s="81"/>
      <c r="N127" s="62"/>
      <c r="O127" s="62">
        <v>81000000</v>
      </c>
      <c r="P127" s="62"/>
      <c r="Q127" s="62"/>
      <c r="R127" s="62"/>
      <c r="S127" s="61">
        <f t="shared" si="30"/>
        <v>81000000</v>
      </c>
      <c r="T127" s="61">
        <f t="shared" si="28"/>
        <v>0</v>
      </c>
      <c r="U127" s="61"/>
    </row>
    <row r="128" spans="1:21" customFormat="1" ht="22.5" hidden="1" x14ac:dyDescent="0.25">
      <c r="A128" s="67">
        <v>1</v>
      </c>
      <c r="B128" s="67" t="s">
        <v>70</v>
      </c>
      <c r="C128" s="66">
        <v>24</v>
      </c>
      <c r="D128" s="66">
        <v>2403113</v>
      </c>
      <c r="E128" s="66" t="s">
        <v>111</v>
      </c>
      <c r="F128" s="66" t="s">
        <v>65</v>
      </c>
      <c r="G128" s="65" t="s">
        <v>125</v>
      </c>
      <c r="H128" s="64"/>
      <c r="I128" s="63">
        <v>81000000</v>
      </c>
      <c r="J128" s="64"/>
      <c r="K128" s="63"/>
      <c r="L128" s="63">
        <f t="shared" si="29"/>
        <v>81000000</v>
      </c>
      <c r="M128" s="81"/>
      <c r="N128" s="62"/>
      <c r="O128" s="62">
        <v>81000000</v>
      </c>
      <c r="P128" s="62"/>
      <c r="Q128" s="62"/>
      <c r="R128" s="62"/>
      <c r="S128" s="61">
        <f t="shared" si="30"/>
        <v>81000000</v>
      </c>
      <c r="T128" s="61">
        <f t="shared" si="28"/>
        <v>0</v>
      </c>
      <c r="U128" s="61"/>
    </row>
    <row r="129" spans="1:21" customFormat="1" ht="22.5" hidden="1" x14ac:dyDescent="0.25">
      <c r="A129" s="67">
        <v>1</v>
      </c>
      <c r="B129" s="67" t="s">
        <v>70</v>
      </c>
      <c r="C129" s="66">
        <v>24</v>
      </c>
      <c r="D129" s="66">
        <v>2403113</v>
      </c>
      <c r="E129" s="66" t="s">
        <v>111</v>
      </c>
      <c r="F129" s="66" t="s">
        <v>65</v>
      </c>
      <c r="G129" s="65" t="s">
        <v>124</v>
      </c>
      <c r="H129" s="64"/>
      <c r="I129" s="63">
        <v>81000000</v>
      </c>
      <c r="J129" s="64"/>
      <c r="K129" s="63"/>
      <c r="L129" s="63">
        <f t="shared" si="29"/>
        <v>81000000</v>
      </c>
      <c r="M129" s="62"/>
      <c r="N129" s="53"/>
      <c r="O129" s="62">
        <v>81000000</v>
      </c>
      <c r="P129" s="62"/>
      <c r="Q129" s="62"/>
      <c r="R129" s="62"/>
      <c r="S129" s="61">
        <f t="shared" si="30"/>
        <v>81000000</v>
      </c>
      <c r="T129" s="61">
        <f t="shared" si="28"/>
        <v>0</v>
      </c>
      <c r="U129" s="61"/>
    </row>
    <row r="130" spans="1:21" customFormat="1" ht="22.5" hidden="1" x14ac:dyDescent="0.25">
      <c r="A130" s="67">
        <v>1</v>
      </c>
      <c r="B130" s="67" t="s">
        <v>70</v>
      </c>
      <c r="C130" s="66">
        <v>24</v>
      </c>
      <c r="D130" s="66">
        <v>2403113</v>
      </c>
      <c r="E130" s="66" t="s">
        <v>111</v>
      </c>
      <c r="F130" s="66" t="s">
        <v>65</v>
      </c>
      <c r="G130" s="65" t="s">
        <v>123</v>
      </c>
      <c r="H130" s="64"/>
      <c r="I130" s="63">
        <v>81000000</v>
      </c>
      <c r="J130" s="64"/>
      <c r="K130" s="63"/>
      <c r="L130" s="63">
        <f t="shared" si="29"/>
        <v>81000000</v>
      </c>
      <c r="M130" s="62"/>
      <c r="N130" s="62">
        <v>81000000</v>
      </c>
      <c r="O130" s="62"/>
      <c r="P130" s="62"/>
      <c r="Q130" s="62"/>
      <c r="R130" s="62"/>
      <c r="S130" s="61">
        <f t="shared" si="30"/>
        <v>81000000</v>
      </c>
      <c r="T130" s="61">
        <f t="shared" si="28"/>
        <v>0</v>
      </c>
      <c r="U130" s="61"/>
    </row>
    <row r="131" spans="1:21" customFormat="1" ht="22.5" hidden="1" x14ac:dyDescent="0.25">
      <c r="A131" s="67">
        <v>1</v>
      </c>
      <c r="B131" s="67" t="s">
        <v>70</v>
      </c>
      <c r="C131" s="66">
        <v>24</v>
      </c>
      <c r="D131" s="66">
        <v>2403113</v>
      </c>
      <c r="E131" s="66" t="s">
        <v>111</v>
      </c>
      <c r="F131" s="66" t="s">
        <v>65</v>
      </c>
      <c r="G131" s="65" t="s">
        <v>122</v>
      </c>
      <c r="H131" s="64"/>
      <c r="I131" s="63">
        <v>81000000</v>
      </c>
      <c r="J131" s="64"/>
      <c r="K131" s="63"/>
      <c r="L131" s="63">
        <f t="shared" si="29"/>
        <v>81000000</v>
      </c>
      <c r="M131" s="62"/>
      <c r="N131" s="68">
        <v>81000000</v>
      </c>
      <c r="O131" s="62"/>
      <c r="P131" s="62"/>
      <c r="Q131" s="62"/>
      <c r="R131" s="62"/>
      <c r="S131" s="61">
        <f t="shared" si="30"/>
        <v>81000000</v>
      </c>
      <c r="T131" s="61">
        <f t="shared" si="28"/>
        <v>0</v>
      </c>
      <c r="U131" s="61"/>
    </row>
    <row r="132" spans="1:21" customFormat="1" ht="22.5" hidden="1" x14ac:dyDescent="0.25">
      <c r="A132" s="67">
        <v>1</v>
      </c>
      <c r="B132" s="67" t="s">
        <v>70</v>
      </c>
      <c r="C132" s="66">
        <v>24</v>
      </c>
      <c r="D132" s="66">
        <v>2403113</v>
      </c>
      <c r="E132" s="66" t="s">
        <v>111</v>
      </c>
      <c r="F132" s="66" t="s">
        <v>65</v>
      </c>
      <c r="G132" s="65" t="s">
        <v>121</v>
      </c>
      <c r="H132" s="64"/>
      <c r="I132" s="63">
        <v>81000000</v>
      </c>
      <c r="J132" s="64"/>
      <c r="K132" s="63"/>
      <c r="L132" s="63">
        <f t="shared" si="29"/>
        <v>81000000</v>
      </c>
      <c r="M132" s="81"/>
      <c r="N132" s="68">
        <v>81000000</v>
      </c>
      <c r="O132" s="62"/>
      <c r="P132" s="62"/>
      <c r="Q132" s="62"/>
      <c r="R132" s="62"/>
      <c r="S132" s="61">
        <f t="shared" si="30"/>
        <v>81000000</v>
      </c>
      <c r="T132" s="61">
        <f t="shared" si="28"/>
        <v>0</v>
      </c>
      <c r="U132" s="61"/>
    </row>
    <row r="133" spans="1:21" customFormat="1" ht="22.5" hidden="1" x14ac:dyDescent="0.25">
      <c r="A133" s="67">
        <v>1</v>
      </c>
      <c r="B133" s="67" t="s">
        <v>70</v>
      </c>
      <c r="C133" s="66">
        <v>24</v>
      </c>
      <c r="D133" s="66">
        <v>2403113</v>
      </c>
      <c r="E133" s="66" t="s">
        <v>111</v>
      </c>
      <c r="F133" s="66" t="s">
        <v>65</v>
      </c>
      <c r="G133" s="65" t="s">
        <v>120</v>
      </c>
      <c r="H133" s="64"/>
      <c r="I133" s="63">
        <v>81000000</v>
      </c>
      <c r="J133" s="64"/>
      <c r="K133" s="63"/>
      <c r="L133" s="63">
        <f t="shared" si="29"/>
        <v>81000000</v>
      </c>
      <c r="M133" s="81"/>
      <c r="N133" s="68">
        <v>81000000</v>
      </c>
      <c r="O133" s="62"/>
      <c r="P133" s="62"/>
      <c r="Q133" s="62"/>
      <c r="R133" s="62"/>
      <c r="S133" s="61">
        <f t="shared" si="30"/>
        <v>81000000</v>
      </c>
      <c r="T133" s="61">
        <f t="shared" si="28"/>
        <v>0</v>
      </c>
      <c r="U133" s="61"/>
    </row>
    <row r="134" spans="1:21" customFormat="1" ht="22.5" hidden="1" x14ac:dyDescent="0.25">
      <c r="A134" s="67">
        <v>1</v>
      </c>
      <c r="B134" s="67" t="s">
        <v>70</v>
      </c>
      <c r="C134" s="66">
        <v>24</v>
      </c>
      <c r="D134" s="66">
        <v>2403113</v>
      </c>
      <c r="E134" s="66" t="s">
        <v>111</v>
      </c>
      <c r="F134" s="66" t="s">
        <v>65</v>
      </c>
      <c r="G134" s="65" t="s">
        <v>119</v>
      </c>
      <c r="H134" s="64"/>
      <c r="I134" s="63">
        <v>81000000</v>
      </c>
      <c r="J134" s="64"/>
      <c r="K134" s="63"/>
      <c r="L134" s="63">
        <f t="shared" si="29"/>
        <v>81000000</v>
      </c>
      <c r="M134" s="81"/>
      <c r="N134" s="62"/>
      <c r="O134" s="62">
        <v>81000000</v>
      </c>
      <c r="P134" s="62"/>
      <c r="Q134" s="62"/>
      <c r="R134" s="62"/>
      <c r="S134" s="61">
        <f t="shared" si="30"/>
        <v>81000000</v>
      </c>
      <c r="T134" s="61">
        <f t="shared" si="28"/>
        <v>0</v>
      </c>
      <c r="U134" s="61"/>
    </row>
    <row r="135" spans="1:21" customFormat="1" ht="22.5" hidden="1" x14ac:dyDescent="0.25">
      <c r="A135" s="67">
        <v>1</v>
      </c>
      <c r="B135" s="67" t="s">
        <v>70</v>
      </c>
      <c r="C135" s="66">
        <v>24</v>
      </c>
      <c r="D135" s="66">
        <v>2403113</v>
      </c>
      <c r="E135" s="66" t="s">
        <v>111</v>
      </c>
      <c r="F135" s="66" t="s">
        <v>65</v>
      </c>
      <c r="G135" s="65" t="s">
        <v>118</v>
      </c>
      <c r="H135" s="64"/>
      <c r="I135" s="63">
        <v>81000000</v>
      </c>
      <c r="J135" s="64"/>
      <c r="K135" s="63"/>
      <c r="L135" s="63">
        <f t="shared" si="29"/>
        <v>81000000</v>
      </c>
      <c r="M135" s="81"/>
      <c r="N135" s="62"/>
      <c r="O135" s="62">
        <v>81000000</v>
      </c>
      <c r="P135" s="62"/>
      <c r="Q135" s="62"/>
      <c r="R135" s="62"/>
      <c r="S135" s="61">
        <f t="shared" si="30"/>
        <v>81000000</v>
      </c>
      <c r="T135" s="61">
        <f t="shared" si="28"/>
        <v>0</v>
      </c>
      <c r="U135" s="61"/>
    </row>
    <row r="136" spans="1:21" customFormat="1" ht="22.5" hidden="1" x14ac:dyDescent="0.25">
      <c r="A136" s="67">
        <v>1</v>
      </c>
      <c r="B136" s="67" t="s">
        <v>70</v>
      </c>
      <c r="C136" s="66">
        <v>24</v>
      </c>
      <c r="D136" s="66">
        <v>2403113</v>
      </c>
      <c r="E136" s="66" t="s">
        <v>111</v>
      </c>
      <c r="F136" s="66" t="s">
        <v>65</v>
      </c>
      <c r="G136" s="65" t="s">
        <v>117</v>
      </c>
      <c r="H136" s="64"/>
      <c r="I136" s="63">
        <v>81000000</v>
      </c>
      <c r="J136" s="64"/>
      <c r="K136" s="63"/>
      <c r="L136" s="63">
        <f t="shared" si="29"/>
        <v>81000000</v>
      </c>
      <c r="M136" s="62"/>
      <c r="N136" s="53"/>
      <c r="O136" s="62">
        <v>81000000</v>
      </c>
      <c r="P136" s="62"/>
      <c r="Q136" s="62"/>
      <c r="R136" s="62"/>
      <c r="S136" s="61">
        <f t="shared" si="30"/>
        <v>81000000</v>
      </c>
      <c r="T136" s="61">
        <f t="shared" si="28"/>
        <v>0</v>
      </c>
      <c r="U136" s="61"/>
    </row>
    <row r="137" spans="1:21" customFormat="1" ht="22.5" hidden="1" x14ac:dyDescent="0.25">
      <c r="A137" s="67">
        <v>1</v>
      </c>
      <c r="B137" s="67" t="s">
        <v>70</v>
      </c>
      <c r="C137" s="66">
        <v>24</v>
      </c>
      <c r="D137" s="66">
        <v>2403113</v>
      </c>
      <c r="E137" s="66" t="s">
        <v>111</v>
      </c>
      <c r="F137" s="66" t="s">
        <v>65</v>
      </c>
      <c r="G137" s="65" t="s">
        <v>116</v>
      </c>
      <c r="H137" s="64"/>
      <c r="I137" s="63">
        <v>81000000</v>
      </c>
      <c r="J137" s="64"/>
      <c r="K137" s="63"/>
      <c r="L137" s="63">
        <f t="shared" si="29"/>
        <v>81000000</v>
      </c>
      <c r="M137" s="81"/>
      <c r="N137" s="62"/>
      <c r="O137" s="62">
        <v>81000000</v>
      </c>
      <c r="P137" s="62"/>
      <c r="Q137" s="62"/>
      <c r="R137" s="62"/>
      <c r="S137" s="61">
        <f t="shared" si="30"/>
        <v>81000000</v>
      </c>
      <c r="T137" s="61">
        <f t="shared" si="28"/>
        <v>0</v>
      </c>
      <c r="U137" s="61"/>
    </row>
    <row r="138" spans="1:21" customFormat="1" ht="22.5" hidden="1" x14ac:dyDescent="0.25">
      <c r="A138" s="67">
        <v>1</v>
      </c>
      <c r="B138" s="67" t="s">
        <v>70</v>
      </c>
      <c r="C138" s="66">
        <v>24</v>
      </c>
      <c r="D138" s="66">
        <v>2403113</v>
      </c>
      <c r="E138" s="66" t="s">
        <v>111</v>
      </c>
      <c r="F138" s="66" t="s">
        <v>65</v>
      </c>
      <c r="G138" s="65" t="s">
        <v>115</v>
      </c>
      <c r="H138" s="64"/>
      <c r="I138" s="63">
        <v>81000000</v>
      </c>
      <c r="J138" s="64"/>
      <c r="K138" s="63"/>
      <c r="L138" s="63">
        <f t="shared" si="29"/>
        <v>81000000</v>
      </c>
      <c r="M138" s="81"/>
      <c r="N138" s="62"/>
      <c r="O138" s="62">
        <v>81000000</v>
      </c>
      <c r="P138" s="62"/>
      <c r="Q138" s="62"/>
      <c r="R138" s="62"/>
      <c r="S138" s="61">
        <f t="shared" si="30"/>
        <v>81000000</v>
      </c>
      <c r="T138" s="61">
        <f t="shared" si="28"/>
        <v>0</v>
      </c>
      <c r="U138" s="61"/>
    </row>
    <row r="139" spans="1:21" customFormat="1" ht="22.5" hidden="1" x14ac:dyDescent="0.25">
      <c r="A139" s="67">
        <v>1</v>
      </c>
      <c r="B139" s="67" t="s">
        <v>70</v>
      </c>
      <c r="C139" s="66">
        <v>24</v>
      </c>
      <c r="D139" s="66">
        <v>2403113</v>
      </c>
      <c r="E139" s="66" t="s">
        <v>111</v>
      </c>
      <c r="F139" s="66" t="s">
        <v>65</v>
      </c>
      <c r="G139" s="65" t="s">
        <v>114</v>
      </c>
      <c r="H139" s="64"/>
      <c r="I139" s="63">
        <v>81000000</v>
      </c>
      <c r="J139" s="64"/>
      <c r="K139" s="63"/>
      <c r="L139" s="63">
        <f t="shared" si="29"/>
        <v>81000000</v>
      </c>
      <c r="M139" s="81"/>
      <c r="N139" s="62"/>
      <c r="O139" s="62">
        <v>81000000</v>
      </c>
      <c r="P139" s="62"/>
      <c r="Q139" s="62"/>
      <c r="R139" s="62"/>
      <c r="S139" s="61">
        <f t="shared" si="30"/>
        <v>81000000</v>
      </c>
      <c r="T139" s="61">
        <f t="shared" si="28"/>
        <v>0</v>
      </c>
      <c r="U139" s="61"/>
    </row>
    <row r="140" spans="1:21" customFormat="1" ht="22.5" hidden="1" x14ac:dyDescent="0.25">
      <c r="A140" s="67">
        <v>1</v>
      </c>
      <c r="B140" s="67" t="s">
        <v>70</v>
      </c>
      <c r="C140" s="66">
        <v>24</v>
      </c>
      <c r="D140" s="66">
        <v>2403113</v>
      </c>
      <c r="E140" s="66" t="s">
        <v>111</v>
      </c>
      <c r="F140" s="66" t="s">
        <v>65</v>
      </c>
      <c r="G140" s="65" t="s">
        <v>113</v>
      </c>
      <c r="H140" s="64"/>
      <c r="I140" s="63">
        <v>81000000</v>
      </c>
      <c r="J140" s="64"/>
      <c r="K140" s="63"/>
      <c r="L140" s="63">
        <f t="shared" si="29"/>
        <v>81000000</v>
      </c>
      <c r="M140" s="74"/>
      <c r="N140" s="62"/>
      <c r="O140" s="62">
        <v>81000000</v>
      </c>
      <c r="P140" s="62"/>
      <c r="Q140" s="62"/>
      <c r="R140" s="62"/>
      <c r="S140" s="61">
        <f t="shared" si="30"/>
        <v>81000000</v>
      </c>
      <c r="T140" s="61">
        <f t="shared" si="28"/>
        <v>0</v>
      </c>
      <c r="U140" s="61"/>
    </row>
    <row r="141" spans="1:21" customFormat="1" ht="22.5" hidden="1" x14ac:dyDescent="0.25">
      <c r="A141" s="67">
        <v>1</v>
      </c>
      <c r="B141" s="67" t="s">
        <v>70</v>
      </c>
      <c r="C141" s="66">
        <v>24</v>
      </c>
      <c r="D141" s="66">
        <v>2403113</v>
      </c>
      <c r="E141" s="66" t="s">
        <v>111</v>
      </c>
      <c r="F141" s="66" t="s">
        <v>65</v>
      </c>
      <c r="G141" s="65" t="s">
        <v>112</v>
      </c>
      <c r="H141" s="64"/>
      <c r="I141" s="63">
        <v>81000000</v>
      </c>
      <c r="J141" s="64"/>
      <c r="K141" s="63"/>
      <c r="L141" s="63">
        <f t="shared" si="29"/>
        <v>81000000</v>
      </c>
      <c r="M141" s="74"/>
      <c r="N141" s="62"/>
      <c r="O141" s="62">
        <v>81000000</v>
      </c>
      <c r="P141" s="62"/>
      <c r="Q141" s="62"/>
      <c r="R141" s="62"/>
      <c r="S141" s="61">
        <f t="shared" si="30"/>
        <v>81000000</v>
      </c>
      <c r="T141" s="61">
        <f t="shared" si="28"/>
        <v>0</v>
      </c>
      <c r="U141" s="61"/>
    </row>
    <row r="142" spans="1:21" customFormat="1" ht="22.5" hidden="1" x14ac:dyDescent="0.25">
      <c r="A142" s="67">
        <v>1</v>
      </c>
      <c r="B142" s="67" t="s">
        <v>70</v>
      </c>
      <c r="C142" s="66">
        <v>24</v>
      </c>
      <c r="D142" s="66">
        <v>2403113</v>
      </c>
      <c r="E142" s="66" t="s">
        <v>111</v>
      </c>
      <c r="F142" s="66" t="s">
        <v>65</v>
      </c>
      <c r="G142" s="65" t="s">
        <v>110</v>
      </c>
      <c r="H142" s="64"/>
      <c r="I142" s="63">
        <v>81000000</v>
      </c>
      <c r="J142" s="64"/>
      <c r="K142" s="63"/>
      <c r="L142" s="63">
        <f t="shared" si="29"/>
        <v>81000000</v>
      </c>
      <c r="M142" s="81"/>
      <c r="N142" s="62"/>
      <c r="O142" s="62">
        <v>81000000</v>
      </c>
      <c r="P142" s="62"/>
      <c r="Q142" s="62"/>
      <c r="R142" s="62"/>
      <c r="S142" s="61">
        <f t="shared" si="30"/>
        <v>81000000</v>
      </c>
      <c r="T142" s="61">
        <f t="shared" si="28"/>
        <v>0</v>
      </c>
      <c r="U142" s="61"/>
    </row>
    <row r="143" spans="1:21" s="54" customFormat="1" ht="25.5" hidden="1" x14ac:dyDescent="0.2">
      <c r="A143" s="60">
        <v>1</v>
      </c>
      <c r="B143" s="60" t="s">
        <v>66</v>
      </c>
      <c r="C143" s="73">
        <v>24</v>
      </c>
      <c r="D143" s="59">
        <v>24</v>
      </c>
      <c r="E143" s="59" t="s">
        <v>93</v>
      </c>
      <c r="F143" s="71" t="s">
        <v>81</v>
      </c>
      <c r="G143" s="59" t="s">
        <v>86</v>
      </c>
      <c r="H143" s="58">
        <v>300943000</v>
      </c>
      <c r="I143" s="58">
        <f>SUM(I144:I153)</f>
        <v>113413076</v>
      </c>
      <c r="J143" s="58">
        <f>H143-I143</f>
        <v>187529924</v>
      </c>
      <c r="K143" s="58">
        <f t="shared" ref="K143:S143" si="31">SUM(K144:K153)</f>
        <v>63308420</v>
      </c>
      <c r="L143" s="58">
        <f t="shared" si="31"/>
        <v>50104656</v>
      </c>
      <c r="M143" s="58">
        <f t="shared" si="31"/>
        <v>9474568</v>
      </c>
      <c r="N143" s="58">
        <f t="shared" si="31"/>
        <v>31262732</v>
      </c>
      <c r="O143" s="58">
        <f t="shared" si="31"/>
        <v>29217819</v>
      </c>
      <c r="P143" s="58">
        <f t="shared" si="31"/>
        <v>106097329</v>
      </c>
      <c r="Q143" s="58">
        <f t="shared" si="31"/>
        <v>48875826</v>
      </c>
      <c r="R143" s="58">
        <f t="shared" si="31"/>
        <v>12706306</v>
      </c>
      <c r="S143" s="58">
        <f t="shared" si="31"/>
        <v>300943000</v>
      </c>
      <c r="T143" s="58">
        <f>H143-S143</f>
        <v>0</v>
      </c>
      <c r="U143" s="57"/>
    </row>
    <row r="144" spans="1:21" customFormat="1" ht="15" hidden="1" x14ac:dyDescent="0.25">
      <c r="A144" s="67">
        <v>1</v>
      </c>
      <c r="B144" s="67" t="s">
        <v>70</v>
      </c>
      <c r="C144" s="66">
        <v>24</v>
      </c>
      <c r="D144" s="66">
        <v>2403111</v>
      </c>
      <c r="E144" s="66" t="s">
        <v>93</v>
      </c>
      <c r="F144" s="66" t="s">
        <v>81</v>
      </c>
      <c r="G144" s="65" t="s">
        <v>73</v>
      </c>
      <c r="H144" s="64"/>
      <c r="I144" s="63">
        <v>44399513</v>
      </c>
      <c r="J144" s="64"/>
      <c r="K144" s="63">
        <v>44399513</v>
      </c>
      <c r="L144" s="63">
        <f t="shared" ref="L144:L150" si="32">I144-K144</f>
        <v>0</v>
      </c>
      <c r="M144" s="62"/>
      <c r="N144" s="62"/>
      <c r="O144" s="62"/>
      <c r="P144" s="62"/>
      <c r="Q144" s="62"/>
      <c r="R144" s="62"/>
      <c r="S144" s="61">
        <f t="shared" ref="S144:S183" si="33">SUM(K144:R144)-L144</f>
        <v>44399513</v>
      </c>
      <c r="T144" s="61">
        <f t="shared" ref="T144:T153" si="34">I144-S144</f>
        <v>0</v>
      </c>
      <c r="U144" s="61" t="s">
        <v>73</v>
      </c>
    </row>
    <row r="145" spans="1:21" customFormat="1" ht="45" hidden="1" x14ac:dyDescent="0.25">
      <c r="A145" s="67">
        <v>1</v>
      </c>
      <c r="B145" s="67" t="s">
        <v>70</v>
      </c>
      <c r="C145" s="66">
        <v>24</v>
      </c>
      <c r="D145" s="66">
        <v>2403111</v>
      </c>
      <c r="E145" s="66" t="s">
        <v>93</v>
      </c>
      <c r="F145" s="66" t="s">
        <v>81</v>
      </c>
      <c r="G145" s="65" t="s">
        <v>109</v>
      </c>
      <c r="H145" s="64"/>
      <c r="I145" s="63">
        <v>26159563</v>
      </c>
      <c r="J145" s="64"/>
      <c r="K145" s="63">
        <v>18858910</v>
      </c>
      <c r="L145" s="63">
        <f t="shared" si="32"/>
        <v>7300653</v>
      </c>
      <c r="M145" s="62">
        <f>879565</f>
        <v>879565</v>
      </c>
      <c r="N145" s="62">
        <v>879565</v>
      </c>
      <c r="O145" s="62">
        <v>703652</v>
      </c>
      <c r="P145" s="62">
        <v>527739</v>
      </c>
      <c r="Q145" s="62">
        <v>351826</v>
      </c>
      <c r="R145" s="62">
        <v>3958306</v>
      </c>
      <c r="S145" s="61">
        <f t="shared" si="33"/>
        <v>26159563</v>
      </c>
      <c r="T145" s="61">
        <f t="shared" si="34"/>
        <v>0</v>
      </c>
      <c r="U145" s="61"/>
    </row>
    <row r="146" spans="1:21" customFormat="1" ht="15" hidden="1" x14ac:dyDescent="0.25">
      <c r="A146" s="67">
        <v>1</v>
      </c>
      <c r="B146" s="67" t="s">
        <v>70</v>
      </c>
      <c r="C146" s="66">
        <v>24</v>
      </c>
      <c r="D146" s="66">
        <v>2403111</v>
      </c>
      <c r="E146" s="66" t="s">
        <v>93</v>
      </c>
      <c r="F146" s="66" t="s">
        <v>81</v>
      </c>
      <c r="G146" s="65" t="s">
        <v>108</v>
      </c>
      <c r="H146" s="64"/>
      <c r="I146" s="63">
        <v>2240000</v>
      </c>
      <c r="J146" s="63"/>
      <c r="K146" s="63">
        <v>49997</v>
      </c>
      <c r="L146" s="63">
        <f t="shared" si="32"/>
        <v>2190003</v>
      </c>
      <c r="M146" s="62">
        <f>224000+622003</f>
        <v>846003</v>
      </c>
      <c r="N146" s="62">
        <v>224000</v>
      </c>
      <c r="O146" s="62">
        <v>224000</v>
      </c>
      <c r="P146" s="62">
        <v>224000</v>
      </c>
      <c r="Q146" s="62">
        <v>224000</v>
      </c>
      <c r="R146" s="62">
        <f>224000*2</f>
        <v>448000</v>
      </c>
      <c r="S146" s="61">
        <f t="shared" si="33"/>
        <v>2240000</v>
      </c>
      <c r="T146" s="61">
        <f t="shared" si="34"/>
        <v>0</v>
      </c>
      <c r="U146" s="61"/>
    </row>
    <row r="147" spans="1:21" customFormat="1" ht="45" hidden="1" x14ac:dyDescent="0.25">
      <c r="A147" s="67">
        <v>1</v>
      </c>
      <c r="B147" s="67" t="s">
        <v>70</v>
      </c>
      <c r="C147" s="66">
        <v>24</v>
      </c>
      <c r="D147" s="66">
        <v>2403111</v>
      </c>
      <c r="E147" s="66" t="s">
        <v>93</v>
      </c>
      <c r="F147" s="66" t="s">
        <v>81</v>
      </c>
      <c r="G147" s="65" t="s">
        <v>107</v>
      </c>
      <c r="H147" s="64"/>
      <c r="I147" s="63">
        <v>1869000</v>
      </c>
      <c r="J147" s="63">
        <f>J142</f>
        <v>0</v>
      </c>
      <c r="K147" s="63"/>
      <c r="L147" s="63">
        <f t="shared" si="32"/>
        <v>1869000</v>
      </c>
      <c r="M147" s="62"/>
      <c r="N147" s="81">
        <v>1869000</v>
      </c>
      <c r="O147" s="62"/>
      <c r="P147" s="62"/>
      <c r="Q147" s="62"/>
      <c r="R147" s="62"/>
      <c r="S147" s="61">
        <f t="shared" si="33"/>
        <v>1869000</v>
      </c>
      <c r="T147" s="61">
        <f t="shared" si="34"/>
        <v>0</v>
      </c>
      <c r="U147" s="61"/>
    </row>
    <row r="148" spans="1:21" customFormat="1" ht="45" hidden="1" x14ac:dyDescent="0.25">
      <c r="A148" s="67">
        <v>1</v>
      </c>
      <c r="B148" s="67" t="s">
        <v>70</v>
      </c>
      <c r="C148" s="66">
        <v>24</v>
      </c>
      <c r="D148" s="66">
        <v>2403111</v>
      </c>
      <c r="E148" s="66" t="s">
        <v>93</v>
      </c>
      <c r="F148" s="66" t="s">
        <v>81</v>
      </c>
      <c r="G148" s="79" t="s">
        <v>106</v>
      </c>
      <c r="H148" s="64"/>
      <c r="I148" s="63">
        <v>38745000</v>
      </c>
      <c r="J148" s="63"/>
      <c r="K148" s="63"/>
      <c r="L148" s="63">
        <f t="shared" si="32"/>
        <v>38745000</v>
      </c>
      <c r="M148" s="68">
        <v>7749000</v>
      </c>
      <c r="N148" s="68">
        <v>11623500</v>
      </c>
      <c r="O148" s="68">
        <v>11623500</v>
      </c>
      <c r="P148" s="68">
        <v>7749000</v>
      </c>
      <c r="Q148" s="62"/>
      <c r="R148" s="62"/>
      <c r="S148" s="61">
        <f t="shared" si="33"/>
        <v>38745000</v>
      </c>
      <c r="T148" s="61">
        <f t="shared" si="34"/>
        <v>0</v>
      </c>
      <c r="U148" s="61" t="s">
        <v>105</v>
      </c>
    </row>
    <row r="149" spans="1:21" customFormat="1" ht="15" hidden="1" x14ac:dyDescent="0.25">
      <c r="A149" s="67">
        <v>1</v>
      </c>
      <c r="B149" s="67" t="s">
        <v>70</v>
      </c>
      <c r="C149" s="66">
        <v>24</v>
      </c>
      <c r="D149" s="66">
        <v>2403111</v>
      </c>
      <c r="E149" s="66" t="s">
        <v>93</v>
      </c>
      <c r="F149" s="66" t="s">
        <v>81</v>
      </c>
      <c r="G149" s="79" t="s">
        <v>104</v>
      </c>
      <c r="H149" s="64"/>
      <c r="I149" s="63"/>
      <c r="J149" s="63">
        <f>J142</f>
        <v>0</v>
      </c>
      <c r="K149" s="63"/>
      <c r="L149" s="63">
        <f t="shared" si="32"/>
        <v>0</v>
      </c>
      <c r="M149" s="62"/>
      <c r="N149" s="78"/>
      <c r="O149" s="80"/>
      <c r="P149" s="68">
        <v>50000000</v>
      </c>
      <c r="Q149" s="68"/>
      <c r="R149" s="68"/>
      <c r="S149" s="61">
        <f t="shared" si="33"/>
        <v>50000000</v>
      </c>
      <c r="T149" s="61">
        <f t="shared" si="34"/>
        <v>-50000000</v>
      </c>
      <c r="U149" s="61" t="s">
        <v>100</v>
      </c>
    </row>
    <row r="150" spans="1:21" customFormat="1" ht="22.5" hidden="1" x14ac:dyDescent="0.25">
      <c r="A150" s="67">
        <v>1</v>
      </c>
      <c r="B150" s="67" t="s">
        <v>70</v>
      </c>
      <c r="C150" s="66">
        <v>24</v>
      </c>
      <c r="D150" s="66">
        <v>2403111</v>
      </c>
      <c r="E150" s="66" t="s">
        <v>93</v>
      </c>
      <c r="F150" s="66" t="s">
        <v>81</v>
      </c>
      <c r="G150" s="79" t="s">
        <v>103</v>
      </c>
      <c r="H150" s="64"/>
      <c r="I150" s="63"/>
      <c r="J150" s="63">
        <f>J142</f>
        <v>0</v>
      </c>
      <c r="K150" s="63"/>
      <c r="L150" s="63">
        <f t="shared" si="32"/>
        <v>0</v>
      </c>
      <c r="M150" s="62"/>
      <c r="N150" s="78"/>
      <c r="O150" s="77"/>
      <c r="P150" s="77">
        <v>8300000</v>
      </c>
      <c r="Q150" s="77">
        <v>8300000</v>
      </c>
      <c r="R150" s="77">
        <v>8300000</v>
      </c>
      <c r="S150" s="61">
        <f t="shared" si="33"/>
        <v>24900000</v>
      </c>
      <c r="T150" s="61">
        <f t="shared" si="34"/>
        <v>-24900000</v>
      </c>
      <c r="U150" s="61" t="s">
        <v>100</v>
      </c>
    </row>
    <row r="151" spans="1:21" customFormat="1" ht="22.5" hidden="1" x14ac:dyDescent="0.25">
      <c r="A151" s="67">
        <v>1</v>
      </c>
      <c r="B151" s="67" t="s">
        <v>70</v>
      </c>
      <c r="C151" s="66">
        <v>24</v>
      </c>
      <c r="D151" s="66">
        <v>2403111</v>
      </c>
      <c r="E151" s="66" t="s">
        <v>93</v>
      </c>
      <c r="F151" s="66" t="s">
        <v>81</v>
      </c>
      <c r="G151" s="79" t="s">
        <v>102</v>
      </c>
      <c r="H151" s="64"/>
      <c r="I151" s="63"/>
      <c r="J151" s="63"/>
      <c r="K151" s="63"/>
      <c r="L151" s="63"/>
      <c r="M151" s="62"/>
      <c r="N151" s="77">
        <v>16666667</v>
      </c>
      <c r="O151" s="77">
        <v>16666667</v>
      </c>
      <c r="P151" s="77">
        <v>16666666</v>
      </c>
      <c r="Q151" s="77"/>
      <c r="R151" s="77"/>
      <c r="S151" s="61">
        <f t="shared" si="33"/>
        <v>50000000</v>
      </c>
      <c r="T151" s="61">
        <f t="shared" si="34"/>
        <v>-50000000</v>
      </c>
      <c r="U151" s="61" t="s">
        <v>100</v>
      </c>
    </row>
    <row r="152" spans="1:21" customFormat="1" ht="15" hidden="1" x14ac:dyDescent="0.25">
      <c r="A152" s="67">
        <v>1</v>
      </c>
      <c r="B152" s="67" t="s">
        <v>70</v>
      </c>
      <c r="C152" s="66">
        <v>24</v>
      </c>
      <c r="D152" s="66">
        <v>2403111</v>
      </c>
      <c r="E152" s="66" t="s">
        <v>93</v>
      </c>
      <c r="F152" s="66" t="s">
        <v>81</v>
      </c>
      <c r="G152" s="79" t="s">
        <v>101</v>
      </c>
      <c r="H152" s="64"/>
      <c r="I152" s="63"/>
      <c r="J152" s="63"/>
      <c r="K152" s="63"/>
      <c r="L152" s="63"/>
      <c r="M152" s="62"/>
      <c r="N152" s="77"/>
      <c r="O152" s="77"/>
      <c r="P152" s="77"/>
      <c r="Q152" s="77">
        <v>40000000</v>
      </c>
      <c r="R152" s="77"/>
      <c r="S152" s="61">
        <f t="shared" si="33"/>
        <v>40000000</v>
      </c>
      <c r="T152" s="61">
        <f t="shared" si="34"/>
        <v>-40000000</v>
      </c>
      <c r="U152" s="61" t="s">
        <v>100</v>
      </c>
    </row>
    <row r="153" spans="1:21" customFormat="1" ht="15" hidden="1" x14ac:dyDescent="0.25">
      <c r="A153" s="67">
        <v>1</v>
      </c>
      <c r="B153" s="67" t="s">
        <v>70</v>
      </c>
      <c r="C153" s="66">
        <v>24</v>
      </c>
      <c r="D153" s="66">
        <v>2403111</v>
      </c>
      <c r="E153" s="66" t="s">
        <v>93</v>
      </c>
      <c r="F153" s="66" t="s">
        <v>81</v>
      </c>
      <c r="G153" s="79" t="s">
        <v>99</v>
      </c>
      <c r="H153" s="64"/>
      <c r="I153" s="63"/>
      <c r="J153" s="63"/>
      <c r="K153" s="63"/>
      <c r="L153" s="63">
        <f>I153-K153</f>
        <v>0</v>
      </c>
      <c r="M153" s="62"/>
      <c r="N153" s="78"/>
      <c r="O153" s="77"/>
      <c r="P153" s="77">
        <f>J143-164900000</f>
        <v>22629924</v>
      </c>
      <c r="Q153" s="77"/>
      <c r="R153" s="77"/>
      <c r="S153" s="61">
        <f t="shared" si="33"/>
        <v>22629924</v>
      </c>
      <c r="T153" s="61">
        <f t="shared" si="34"/>
        <v>-22629924</v>
      </c>
      <c r="U153" s="61"/>
    </row>
    <row r="154" spans="1:21" s="54" customFormat="1" ht="38.25" hidden="1" x14ac:dyDescent="0.2">
      <c r="A154" s="60">
        <v>1</v>
      </c>
      <c r="B154" s="60" t="s">
        <v>66</v>
      </c>
      <c r="C154" s="59">
        <v>24</v>
      </c>
      <c r="D154" s="59">
        <v>24</v>
      </c>
      <c r="E154" s="59" t="s">
        <v>93</v>
      </c>
      <c r="F154" s="71" t="s">
        <v>78</v>
      </c>
      <c r="G154" s="59" t="s">
        <v>79</v>
      </c>
      <c r="H154" s="76" t="s">
        <v>98</v>
      </c>
      <c r="I154" s="58">
        <v>0</v>
      </c>
      <c r="J154" s="76" t="s">
        <v>98</v>
      </c>
      <c r="K154" s="58">
        <v>0</v>
      </c>
      <c r="L154" s="58">
        <v>0</v>
      </c>
      <c r="M154" s="58"/>
      <c r="N154" s="58"/>
      <c r="O154" s="58"/>
      <c r="P154" s="58"/>
      <c r="Q154" s="58"/>
      <c r="R154" s="58"/>
      <c r="S154" s="57">
        <f t="shared" si="33"/>
        <v>0</v>
      </c>
      <c r="T154" s="75" t="s">
        <v>98</v>
      </c>
      <c r="U154" s="57"/>
    </row>
    <row r="155" spans="1:21" s="54" customFormat="1" hidden="1" x14ac:dyDescent="0.2">
      <c r="A155" s="60">
        <v>1</v>
      </c>
      <c r="B155" s="60" t="s">
        <v>66</v>
      </c>
      <c r="C155" s="59">
        <v>24</v>
      </c>
      <c r="D155" s="59">
        <v>24</v>
      </c>
      <c r="E155" s="59" t="s">
        <v>93</v>
      </c>
      <c r="F155" s="59" t="s">
        <v>65</v>
      </c>
      <c r="G155" s="59" t="s">
        <v>64</v>
      </c>
      <c r="H155" s="58">
        <v>726059000</v>
      </c>
      <c r="I155" s="58">
        <v>247485262</v>
      </c>
      <c r="J155" s="58">
        <f>H155-I155</f>
        <v>478573738</v>
      </c>
      <c r="K155" s="58">
        <v>247485262</v>
      </c>
      <c r="L155" s="58">
        <f>SUBTOTAL(9,L156:L158)</f>
        <v>0</v>
      </c>
      <c r="M155" s="58">
        <f t="shared" ref="M155:R155" si="35">SUM(M156:M158)</f>
        <v>0</v>
      </c>
      <c r="N155" s="58">
        <f t="shared" si="35"/>
        <v>125000000</v>
      </c>
      <c r="O155" s="58">
        <f t="shared" si="35"/>
        <v>45573738</v>
      </c>
      <c r="P155" s="58">
        <f t="shared" si="35"/>
        <v>308000000</v>
      </c>
      <c r="Q155" s="58">
        <f t="shared" si="35"/>
        <v>0</v>
      </c>
      <c r="R155" s="58">
        <f t="shared" si="35"/>
        <v>0</v>
      </c>
      <c r="S155" s="57">
        <f t="shared" si="33"/>
        <v>726059000</v>
      </c>
      <c r="T155" s="57">
        <f>H155-S155</f>
        <v>0</v>
      </c>
      <c r="U155" s="57"/>
    </row>
    <row r="156" spans="1:21" customFormat="1" ht="15" hidden="1" x14ac:dyDescent="0.25">
      <c r="A156" s="67">
        <v>1</v>
      </c>
      <c r="B156" s="67" t="s">
        <v>70</v>
      </c>
      <c r="C156" s="66">
        <v>24</v>
      </c>
      <c r="D156" s="66">
        <v>2403111</v>
      </c>
      <c r="E156" s="66" t="s">
        <v>93</v>
      </c>
      <c r="F156" s="66" t="s">
        <v>65</v>
      </c>
      <c r="G156" s="65" t="s">
        <v>73</v>
      </c>
      <c r="H156" s="64"/>
      <c r="I156" s="63">
        <v>247485262</v>
      </c>
      <c r="J156" s="64"/>
      <c r="K156" s="63">
        <v>247485262</v>
      </c>
      <c r="L156" s="63">
        <f>I156-K156</f>
        <v>0</v>
      </c>
      <c r="M156" s="62"/>
      <c r="N156" s="62"/>
      <c r="O156" s="62"/>
      <c r="P156" s="62"/>
      <c r="Q156" s="62"/>
      <c r="R156" s="62"/>
      <c r="S156" s="61">
        <f t="shared" si="33"/>
        <v>247485262</v>
      </c>
      <c r="T156" s="61">
        <f>I156-S156</f>
        <v>0</v>
      </c>
      <c r="U156" s="61" t="s">
        <v>73</v>
      </c>
    </row>
    <row r="157" spans="1:21" customFormat="1" ht="15" hidden="1" x14ac:dyDescent="0.25">
      <c r="A157" s="67">
        <v>1</v>
      </c>
      <c r="B157" s="67" t="s">
        <v>70</v>
      </c>
      <c r="C157" s="66">
        <v>24</v>
      </c>
      <c r="D157" s="66">
        <v>2403111</v>
      </c>
      <c r="E157" s="66" t="s">
        <v>93</v>
      </c>
      <c r="F157" s="66" t="s">
        <v>65</v>
      </c>
      <c r="G157" s="65" t="s">
        <v>97</v>
      </c>
      <c r="H157" s="64"/>
      <c r="I157" s="63"/>
      <c r="J157" s="64"/>
      <c r="K157" s="63"/>
      <c r="L157" s="63">
        <f>I157-K157</f>
        <v>0</v>
      </c>
      <c r="M157" s="62"/>
      <c r="N157" s="68">
        <v>125000000</v>
      </c>
      <c r="O157" s="62"/>
      <c r="P157" s="62"/>
      <c r="Q157" s="62"/>
      <c r="R157" s="62"/>
      <c r="S157" s="61">
        <f t="shared" si="33"/>
        <v>125000000</v>
      </c>
      <c r="T157" s="61">
        <f>I157-S157</f>
        <v>-125000000</v>
      </c>
      <c r="U157" s="61"/>
    </row>
    <row r="158" spans="1:21" customFormat="1" ht="15" hidden="1" x14ac:dyDescent="0.25">
      <c r="A158" s="67">
        <v>1</v>
      </c>
      <c r="B158" s="67" t="s">
        <v>70</v>
      </c>
      <c r="C158" s="66">
        <v>24</v>
      </c>
      <c r="D158" s="66">
        <v>2403111</v>
      </c>
      <c r="E158" s="66" t="s">
        <v>93</v>
      </c>
      <c r="F158" s="66" t="s">
        <v>65</v>
      </c>
      <c r="G158" s="65" t="s">
        <v>96</v>
      </c>
      <c r="H158" s="64"/>
      <c r="I158" s="63"/>
      <c r="J158" s="64"/>
      <c r="K158" s="63"/>
      <c r="L158" s="63">
        <f>I158-K158</f>
        <v>0</v>
      </c>
      <c r="M158" s="62"/>
      <c r="N158" s="53"/>
      <c r="O158" s="68">
        <v>45573738</v>
      </c>
      <c r="P158" s="68">
        <f>J155-N157-O158</f>
        <v>308000000</v>
      </c>
      <c r="Q158" s="62"/>
      <c r="R158" s="62"/>
      <c r="S158" s="61">
        <f t="shared" si="33"/>
        <v>353573738</v>
      </c>
      <c r="T158" s="61">
        <f>I158-S158</f>
        <v>-353573738</v>
      </c>
      <c r="U158" s="61"/>
    </row>
    <row r="159" spans="1:21" s="54" customFormat="1" ht="25.5" hidden="1" x14ac:dyDescent="0.2">
      <c r="A159" s="60">
        <v>1</v>
      </c>
      <c r="B159" s="60" t="s">
        <v>66</v>
      </c>
      <c r="C159" s="59">
        <v>24</v>
      </c>
      <c r="D159" s="59">
        <v>24</v>
      </c>
      <c r="E159" s="59" t="s">
        <v>93</v>
      </c>
      <c r="F159" s="71" t="s">
        <v>92</v>
      </c>
      <c r="G159" s="59" t="s">
        <v>95</v>
      </c>
      <c r="H159" s="58">
        <v>440000000</v>
      </c>
      <c r="I159" s="58">
        <v>419054948</v>
      </c>
      <c r="J159" s="58">
        <v>20945052</v>
      </c>
      <c r="K159" s="58">
        <v>40158948</v>
      </c>
      <c r="L159" s="58">
        <v>378896000</v>
      </c>
      <c r="M159" s="58">
        <f t="shared" ref="M159:R159" si="36">SUM(M160:M162)</f>
        <v>0</v>
      </c>
      <c r="N159" s="58">
        <f t="shared" si="36"/>
        <v>378896000</v>
      </c>
      <c r="O159" s="58">
        <f t="shared" si="36"/>
        <v>0</v>
      </c>
      <c r="P159" s="58">
        <f t="shared" si="36"/>
        <v>0</v>
      </c>
      <c r="Q159" s="58">
        <f t="shared" si="36"/>
        <v>0</v>
      </c>
      <c r="R159" s="58">
        <f t="shared" si="36"/>
        <v>20945052</v>
      </c>
      <c r="S159" s="57">
        <f t="shared" si="33"/>
        <v>440000000</v>
      </c>
      <c r="T159" s="57">
        <f>H159-S159</f>
        <v>0</v>
      </c>
      <c r="U159" s="57"/>
    </row>
    <row r="160" spans="1:21" customFormat="1" ht="22.5" hidden="1" x14ac:dyDescent="0.25">
      <c r="A160" s="67">
        <v>1</v>
      </c>
      <c r="B160" s="67" t="s">
        <v>70</v>
      </c>
      <c r="C160" s="66">
        <v>24</v>
      </c>
      <c r="D160" s="66">
        <v>2403111</v>
      </c>
      <c r="E160" s="66" t="s">
        <v>93</v>
      </c>
      <c r="F160" s="65" t="s">
        <v>92</v>
      </c>
      <c r="G160" s="65" t="s">
        <v>73</v>
      </c>
      <c r="H160" s="64"/>
      <c r="I160" s="63">
        <v>40158948</v>
      </c>
      <c r="J160" s="64"/>
      <c r="K160" s="63">
        <f>39834559+324389</f>
        <v>40158948</v>
      </c>
      <c r="L160" s="63">
        <f>I160-K160</f>
        <v>0</v>
      </c>
      <c r="M160" s="62"/>
      <c r="N160" s="62"/>
      <c r="O160" s="62"/>
      <c r="P160" s="62"/>
      <c r="Q160" s="62"/>
      <c r="R160" s="62"/>
      <c r="S160" s="61">
        <f t="shared" si="33"/>
        <v>40158948</v>
      </c>
      <c r="T160" s="61">
        <f>I160-S160</f>
        <v>0</v>
      </c>
      <c r="U160" s="61" t="s">
        <v>73</v>
      </c>
    </row>
    <row r="161" spans="1:23" customFormat="1" ht="33.75" hidden="1" x14ac:dyDescent="0.25">
      <c r="A161" s="67">
        <v>1</v>
      </c>
      <c r="B161" s="67" t="s">
        <v>70</v>
      </c>
      <c r="C161" s="66">
        <v>24</v>
      </c>
      <c r="D161" s="66">
        <v>2403111</v>
      </c>
      <c r="E161" s="66" t="s">
        <v>93</v>
      </c>
      <c r="F161" s="65" t="s">
        <v>92</v>
      </c>
      <c r="G161" s="65" t="s">
        <v>94</v>
      </c>
      <c r="H161" s="64"/>
      <c r="I161" s="63">
        <v>378896000</v>
      </c>
      <c r="J161" s="64"/>
      <c r="K161" s="63"/>
      <c r="L161" s="63">
        <f>I161-K161</f>
        <v>378896000</v>
      </c>
      <c r="M161" s="53"/>
      <c r="N161" s="68">
        <v>378896000</v>
      </c>
      <c r="O161" s="62"/>
      <c r="P161" s="62"/>
      <c r="Q161" s="62"/>
      <c r="R161" s="62"/>
      <c r="S161" s="61">
        <f t="shared" si="33"/>
        <v>378896000</v>
      </c>
      <c r="T161" s="61">
        <f>I161-S161</f>
        <v>0</v>
      </c>
      <c r="U161" s="61"/>
    </row>
    <row r="162" spans="1:23" customFormat="1" ht="22.5" hidden="1" x14ac:dyDescent="0.25">
      <c r="A162" s="67">
        <v>1</v>
      </c>
      <c r="B162" s="67" t="s">
        <v>70</v>
      </c>
      <c r="C162" s="66">
        <v>24</v>
      </c>
      <c r="D162" s="66">
        <v>2403111</v>
      </c>
      <c r="E162" s="66" t="s">
        <v>93</v>
      </c>
      <c r="F162" s="65" t="s">
        <v>92</v>
      </c>
      <c r="G162" s="65" t="s">
        <v>67</v>
      </c>
      <c r="H162" s="64"/>
      <c r="I162" s="63"/>
      <c r="J162" s="63">
        <f>J159</f>
        <v>20945052</v>
      </c>
      <c r="K162" s="63"/>
      <c r="L162" s="63">
        <f>I162-K162</f>
        <v>0</v>
      </c>
      <c r="M162" s="74"/>
      <c r="N162" s="74"/>
      <c r="O162" s="53"/>
      <c r="P162" s="62"/>
      <c r="Q162" s="62"/>
      <c r="R162" s="68">
        <f>J159</f>
        <v>20945052</v>
      </c>
      <c r="S162" s="61">
        <f t="shared" si="33"/>
        <v>20945052</v>
      </c>
      <c r="T162" s="61">
        <f>I162-S162</f>
        <v>-20945052</v>
      </c>
      <c r="U162" s="61" t="s">
        <v>91</v>
      </c>
    </row>
    <row r="163" spans="1:23" s="54" customFormat="1" hidden="1" x14ac:dyDescent="0.2">
      <c r="A163" s="60">
        <v>1</v>
      </c>
      <c r="B163" s="60" t="s">
        <v>66</v>
      </c>
      <c r="C163" s="73">
        <v>24</v>
      </c>
      <c r="D163" s="59">
        <v>24</v>
      </c>
      <c r="E163" s="72" t="s">
        <v>69</v>
      </c>
      <c r="F163" s="59" t="s">
        <v>90</v>
      </c>
      <c r="G163" s="59" t="s">
        <v>89</v>
      </c>
      <c r="H163" s="58">
        <v>52971535</v>
      </c>
      <c r="I163" s="58">
        <v>52971535</v>
      </c>
      <c r="J163" s="58">
        <v>0</v>
      </c>
      <c r="K163" s="58">
        <v>26365933</v>
      </c>
      <c r="L163" s="58">
        <v>26605602</v>
      </c>
      <c r="M163" s="58">
        <v>4434267</v>
      </c>
      <c r="N163" s="58">
        <v>4434267</v>
      </c>
      <c r="O163" s="58">
        <v>4434267</v>
      </c>
      <c r="P163" s="58">
        <v>4434267</v>
      </c>
      <c r="Q163" s="58">
        <v>4434267</v>
      </c>
      <c r="R163" s="58">
        <v>4434267</v>
      </c>
      <c r="S163" s="57">
        <f t="shared" si="33"/>
        <v>52971535</v>
      </c>
      <c r="T163" s="57">
        <f>H163-S163</f>
        <v>0</v>
      </c>
      <c r="U163" s="57"/>
    </row>
    <row r="164" spans="1:23" s="54" customFormat="1" hidden="1" x14ac:dyDescent="0.2">
      <c r="A164" s="60">
        <v>1</v>
      </c>
      <c r="B164" s="60" t="s">
        <v>66</v>
      </c>
      <c r="C164" s="73">
        <v>24</v>
      </c>
      <c r="D164" s="59">
        <v>24</v>
      </c>
      <c r="E164" s="72" t="s">
        <v>69</v>
      </c>
      <c r="F164" s="59" t="s">
        <v>88</v>
      </c>
      <c r="G164" s="59" t="s">
        <v>87</v>
      </c>
      <c r="H164" s="58">
        <v>1991168</v>
      </c>
      <c r="I164" s="58">
        <v>154070</v>
      </c>
      <c r="J164" s="58">
        <v>1837098</v>
      </c>
      <c r="K164" s="58">
        <v>154070</v>
      </c>
      <c r="L164" s="58">
        <v>0</v>
      </c>
      <c r="M164" s="58">
        <v>199116</v>
      </c>
      <c r="N164" s="58">
        <v>199116</v>
      </c>
      <c r="O164" s="58">
        <v>199116</v>
      </c>
      <c r="P164" s="58">
        <v>199116</v>
      </c>
      <c r="Q164" s="58">
        <v>199116</v>
      </c>
      <c r="R164" s="58">
        <v>841518</v>
      </c>
      <c r="S164" s="57">
        <f t="shared" si="33"/>
        <v>1991168</v>
      </c>
      <c r="T164" s="57">
        <f>H164-S164</f>
        <v>0</v>
      </c>
      <c r="U164" s="57"/>
    </row>
    <row r="165" spans="1:23" s="54" customFormat="1" ht="25.5" hidden="1" x14ac:dyDescent="0.2">
      <c r="A165" s="60">
        <v>1</v>
      </c>
      <c r="B165" s="60" t="s">
        <v>66</v>
      </c>
      <c r="C165" s="73">
        <v>24</v>
      </c>
      <c r="D165" s="59">
        <v>24</v>
      </c>
      <c r="E165" s="72" t="s">
        <v>69</v>
      </c>
      <c r="F165" s="71" t="s">
        <v>81</v>
      </c>
      <c r="G165" s="59" t="s">
        <v>86</v>
      </c>
      <c r="H165" s="58">
        <v>26653575</v>
      </c>
      <c r="I165" s="58">
        <v>10246317</v>
      </c>
      <c r="J165" s="58">
        <v>16407258</v>
      </c>
      <c r="K165" s="58">
        <v>5006728</v>
      </c>
      <c r="L165" s="58">
        <v>5239589</v>
      </c>
      <c r="M165" s="58">
        <f t="shared" ref="M165:R165" si="37">SUM(M167:M171)</f>
        <v>0</v>
      </c>
      <c r="N165" s="58">
        <f t="shared" si="37"/>
        <v>205000</v>
      </c>
      <c r="O165" s="58">
        <f t="shared" si="37"/>
        <v>540860</v>
      </c>
      <c r="P165" s="58">
        <f t="shared" si="37"/>
        <v>16948118</v>
      </c>
      <c r="Q165" s="58">
        <f t="shared" si="37"/>
        <v>540860</v>
      </c>
      <c r="R165" s="58">
        <f t="shared" si="37"/>
        <v>3412009</v>
      </c>
      <c r="S165" s="57">
        <f t="shared" si="33"/>
        <v>26653575</v>
      </c>
      <c r="T165" s="57">
        <f>H165-S165</f>
        <v>0</v>
      </c>
      <c r="U165" s="57"/>
    </row>
    <row r="166" spans="1:23" customFormat="1" ht="22.5" hidden="1" x14ac:dyDescent="0.25">
      <c r="A166" s="67">
        <v>1</v>
      </c>
      <c r="B166" s="67" t="s">
        <v>70</v>
      </c>
      <c r="C166" s="66">
        <v>24</v>
      </c>
      <c r="D166" s="66">
        <v>2403041</v>
      </c>
      <c r="E166" s="66" t="s">
        <v>69</v>
      </c>
      <c r="F166" s="65" t="s">
        <v>81</v>
      </c>
      <c r="G166" s="65" t="s">
        <v>73</v>
      </c>
      <c r="H166" s="64"/>
      <c r="I166" s="63">
        <v>4491317</v>
      </c>
      <c r="J166" s="64"/>
      <c r="K166" s="63">
        <f>143201+3788340+559776</f>
        <v>4491317</v>
      </c>
      <c r="L166" s="63">
        <f t="shared" ref="L166:L171" si="38">I166-K166</f>
        <v>0</v>
      </c>
      <c r="M166" s="62"/>
      <c r="N166" s="62"/>
      <c r="O166" s="62"/>
      <c r="P166" s="62"/>
      <c r="Q166" s="62"/>
      <c r="R166" s="62"/>
      <c r="S166" s="61">
        <f t="shared" si="33"/>
        <v>4491317</v>
      </c>
      <c r="T166" s="61">
        <f t="shared" ref="T166:T171" si="39">I166-S166</f>
        <v>0</v>
      </c>
      <c r="U166" s="61" t="s">
        <v>73</v>
      </c>
    </row>
    <row r="167" spans="1:23" customFormat="1" ht="22.5" hidden="1" x14ac:dyDescent="0.25">
      <c r="A167" s="67">
        <v>1</v>
      </c>
      <c r="B167" s="67" t="s">
        <v>70</v>
      </c>
      <c r="C167" s="66">
        <v>24</v>
      </c>
      <c r="D167" s="66">
        <v>2403041</v>
      </c>
      <c r="E167" s="66" t="s">
        <v>69</v>
      </c>
      <c r="F167" s="65" t="s">
        <v>81</v>
      </c>
      <c r="G167" s="65" t="s">
        <v>85</v>
      </c>
      <c r="H167" s="64"/>
      <c r="I167" s="63">
        <v>3000000</v>
      </c>
      <c r="J167" s="64"/>
      <c r="K167" s="63">
        <v>174592</v>
      </c>
      <c r="L167" s="63">
        <f t="shared" si="38"/>
        <v>2825408</v>
      </c>
      <c r="M167" s="62"/>
      <c r="N167" s="62">
        <v>100000</v>
      </c>
      <c r="O167" s="62">
        <v>284490</v>
      </c>
      <c r="P167" s="62">
        <v>284490</v>
      </c>
      <c r="Q167" s="62">
        <v>284490</v>
      </c>
      <c r="R167" s="62">
        <v>1871938</v>
      </c>
      <c r="S167" s="61">
        <f t="shared" si="33"/>
        <v>3000000</v>
      </c>
      <c r="T167" s="61">
        <f t="shared" si="39"/>
        <v>0</v>
      </c>
      <c r="U167" s="61"/>
    </row>
    <row r="168" spans="1:23" customFormat="1" ht="22.5" hidden="1" x14ac:dyDescent="0.25">
      <c r="A168" s="67">
        <v>1</v>
      </c>
      <c r="B168" s="67" t="s">
        <v>70</v>
      </c>
      <c r="C168" s="66">
        <v>24</v>
      </c>
      <c r="D168" s="66">
        <v>2403041</v>
      </c>
      <c r="E168" s="66" t="s">
        <v>69</v>
      </c>
      <c r="F168" s="65" t="s">
        <v>81</v>
      </c>
      <c r="G168" s="65" t="s">
        <v>84</v>
      </c>
      <c r="H168" s="64"/>
      <c r="I168" s="63">
        <v>1000000</v>
      </c>
      <c r="J168" s="64"/>
      <c r="K168" s="63">
        <v>186299</v>
      </c>
      <c r="L168" s="63">
        <f t="shared" si="38"/>
        <v>813701</v>
      </c>
      <c r="M168" s="62"/>
      <c r="N168" s="62">
        <v>50000</v>
      </c>
      <c r="O168" s="62">
        <v>81370</v>
      </c>
      <c r="P168" s="62">
        <v>81370</v>
      </c>
      <c r="Q168" s="62">
        <v>81370</v>
      </c>
      <c r="R168" s="62">
        <v>519591</v>
      </c>
      <c r="S168" s="61">
        <f t="shared" si="33"/>
        <v>1000000</v>
      </c>
      <c r="T168" s="61">
        <f t="shared" si="39"/>
        <v>0</v>
      </c>
      <c r="U168" s="61"/>
    </row>
    <row r="169" spans="1:23" customFormat="1" ht="22.5" hidden="1" x14ac:dyDescent="0.25">
      <c r="A169" s="67">
        <v>1</v>
      </c>
      <c r="B169" s="67" t="s">
        <v>70</v>
      </c>
      <c r="C169" s="66">
        <v>24</v>
      </c>
      <c r="D169" s="66">
        <v>2403041</v>
      </c>
      <c r="E169" s="66" t="s">
        <v>69</v>
      </c>
      <c r="F169" s="65" t="s">
        <v>81</v>
      </c>
      <c r="G169" s="65" t="s">
        <v>83</v>
      </c>
      <c r="H169" s="64"/>
      <c r="I169" s="63">
        <v>55000</v>
      </c>
      <c r="J169" s="64"/>
      <c r="K169" s="63"/>
      <c r="L169" s="63">
        <f t="shared" si="38"/>
        <v>55000</v>
      </c>
      <c r="M169" s="62"/>
      <c r="N169" s="62">
        <v>5000</v>
      </c>
      <c r="O169" s="62">
        <v>5000</v>
      </c>
      <c r="P169" s="62">
        <v>5000</v>
      </c>
      <c r="Q169" s="62">
        <v>5000</v>
      </c>
      <c r="R169" s="62">
        <v>35000</v>
      </c>
      <c r="S169" s="61">
        <f t="shared" si="33"/>
        <v>55000</v>
      </c>
      <c r="T169" s="61">
        <f t="shared" si="39"/>
        <v>0</v>
      </c>
      <c r="U169" s="61"/>
    </row>
    <row r="170" spans="1:23" customFormat="1" ht="22.5" hidden="1" x14ac:dyDescent="0.25">
      <c r="A170" s="67">
        <v>1</v>
      </c>
      <c r="B170" s="67" t="s">
        <v>70</v>
      </c>
      <c r="C170" s="66">
        <v>24</v>
      </c>
      <c r="D170" s="66">
        <v>2403041</v>
      </c>
      <c r="E170" s="66" t="s">
        <v>69</v>
      </c>
      <c r="F170" s="65" t="s">
        <v>81</v>
      </c>
      <c r="G170" s="65" t="s">
        <v>82</v>
      </c>
      <c r="H170" s="64"/>
      <c r="I170" s="63">
        <v>1700000</v>
      </c>
      <c r="J170" s="64"/>
      <c r="K170" s="63">
        <v>154520</v>
      </c>
      <c r="L170" s="63">
        <f t="shared" si="38"/>
        <v>1545480</v>
      </c>
      <c r="M170" s="62"/>
      <c r="N170" s="62">
        <v>50000</v>
      </c>
      <c r="O170" s="62">
        <v>170000</v>
      </c>
      <c r="P170" s="62">
        <v>170000</v>
      </c>
      <c r="Q170" s="62">
        <v>170000</v>
      </c>
      <c r="R170" s="62">
        <v>985480</v>
      </c>
      <c r="S170" s="61">
        <f t="shared" si="33"/>
        <v>1700000</v>
      </c>
      <c r="T170" s="61">
        <f t="shared" si="39"/>
        <v>0</v>
      </c>
      <c r="U170" s="61"/>
    </row>
    <row r="171" spans="1:23" customFormat="1" ht="22.5" hidden="1" x14ac:dyDescent="0.25">
      <c r="A171" s="67">
        <v>1</v>
      </c>
      <c r="B171" s="67" t="s">
        <v>70</v>
      </c>
      <c r="C171" s="66">
        <v>24</v>
      </c>
      <c r="D171" s="66">
        <v>2403041</v>
      </c>
      <c r="E171" s="66" t="s">
        <v>69</v>
      </c>
      <c r="F171" s="65" t="s">
        <v>81</v>
      </c>
      <c r="G171" s="65" t="s">
        <v>80</v>
      </c>
      <c r="H171" s="64"/>
      <c r="I171" s="63"/>
      <c r="J171" s="64"/>
      <c r="K171" s="63"/>
      <c r="L171" s="63">
        <f t="shared" si="38"/>
        <v>0</v>
      </c>
      <c r="M171" s="62"/>
      <c r="N171" s="53"/>
      <c r="O171" s="62"/>
      <c r="P171" s="68">
        <f>J165</f>
        <v>16407258</v>
      </c>
      <c r="Q171" s="62"/>
      <c r="R171" s="62"/>
      <c r="S171" s="61">
        <f t="shared" si="33"/>
        <v>16407258</v>
      </c>
      <c r="T171" s="61">
        <f t="shared" si="39"/>
        <v>-16407258</v>
      </c>
      <c r="U171" s="61"/>
    </row>
    <row r="172" spans="1:23" s="54" customFormat="1" ht="38.25" hidden="1" x14ac:dyDescent="0.2">
      <c r="A172" s="60">
        <v>1</v>
      </c>
      <c r="B172" s="60" t="s">
        <v>66</v>
      </c>
      <c r="C172" s="59">
        <v>24</v>
      </c>
      <c r="D172" s="59">
        <v>24</v>
      </c>
      <c r="E172" s="59" t="s">
        <v>69</v>
      </c>
      <c r="F172" s="71" t="s">
        <v>78</v>
      </c>
      <c r="G172" s="59" t="s">
        <v>79</v>
      </c>
      <c r="H172" s="58">
        <v>23241722</v>
      </c>
      <c r="I172" s="58">
        <v>19036777</v>
      </c>
      <c r="J172" s="58">
        <v>4204945</v>
      </c>
      <c r="K172" s="58">
        <v>19036777</v>
      </c>
      <c r="L172" s="58">
        <v>0</v>
      </c>
      <c r="M172" s="58">
        <f t="shared" ref="M172:R172" si="40">SUM(M173:M174)</f>
        <v>0</v>
      </c>
      <c r="N172" s="58">
        <f t="shared" si="40"/>
        <v>0</v>
      </c>
      <c r="O172" s="58">
        <f t="shared" si="40"/>
        <v>0</v>
      </c>
      <c r="P172" s="58">
        <f t="shared" si="40"/>
        <v>4204945</v>
      </c>
      <c r="Q172" s="58">
        <f t="shared" si="40"/>
        <v>0</v>
      </c>
      <c r="R172" s="58">
        <f t="shared" si="40"/>
        <v>0</v>
      </c>
      <c r="S172" s="57">
        <f t="shared" si="33"/>
        <v>23241722</v>
      </c>
      <c r="T172" s="57">
        <f>H172-S172</f>
        <v>0</v>
      </c>
      <c r="U172" s="57"/>
    </row>
    <row r="173" spans="1:23" customFormat="1" ht="22.5" hidden="1" x14ac:dyDescent="0.25">
      <c r="A173" s="67">
        <v>1</v>
      </c>
      <c r="B173" s="67" t="s">
        <v>70</v>
      </c>
      <c r="C173" s="66">
        <v>24</v>
      </c>
      <c r="D173" s="66">
        <v>2403041</v>
      </c>
      <c r="E173" s="66" t="s">
        <v>69</v>
      </c>
      <c r="F173" s="65" t="s">
        <v>78</v>
      </c>
      <c r="G173" s="65" t="s">
        <v>73</v>
      </c>
      <c r="H173" s="64"/>
      <c r="I173" s="63">
        <v>19036777</v>
      </c>
      <c r="J173" s="64"/>
      <c r="K173" s="63">
        <v>19036777</v>
      </c>
      <c r="L173" s="63">
        <f>I173-K173</f>
        <v>0</v>
      </c>
      <c r="M173" s="62"/>
      <c r="N173" s="62"/>
      <c r="O173" s="62"/>
      <c r="P173" s="62"/>
      <c r="Q173" s="62"/>
      <c r="R173" s="62"/>
      <c r="S173" s="61">
        <f t="shared" si="33"/>
        <v>19036777</v>
      </c>
      <c r="T173" s="61">
        <f>I173-S173</f>
        <v>0</v>
      </c>
      <c r="U173" s="61" t="s">
        <v>73</v>
      </c>
    </row>
    <row r="174" spans="1:23" customFormat="1" ht="22.5" hidden="1" x14ac:dyDescent="0.25">
      <c r="A174" s="67">
        <v>1</v>
      </c>
      <c r="B174" s="67" t="s">
        <v>70</v>
      </c>
      <c r="C174" s="66">
        <v>24</v>
      </c>
      <c r="D174" s="66">
        <v>2403041</v>
      </c>
      <c r="E174" s="66" t="s">
        <v>69</v>
      </c>
      <c r="F174" s="65" t="s">
        <v>78</v>
      </c>
      <c r="G174" s="65" t="s">
        <v>67</v>
      </c>
      <c r="H174" s="64"/>
      <c r="I174" s="63"/>
      <c r="J174" s="64"/>
      <c r="K174" s="63"/>
      <c r="L174" s="63">
        <f>I174-K174</f>
        <v>0</v>
      </c>
      <c r="M174" s="62"/>
      <c r="N174" s="53"/>
      <c r="O174" s="62"/>
      <c r="P174" s="68">
        <v>4204945</v>
      </c>
      <c r="Q174" s="62"/>
      <c r="R174" s="62"/>
      <c r="S174" s="61">
        <f t="shared" si="33"/>
        <v>4204945</v>
      </c>
      <c r="T174" s="61">
        <f>I174-S174</f>
        <v>-4204945</v>
      </c>
      <c r="U174" s="61"/>
    </row>
    <row r="175" spans="1:23" s="54" customFormat="1" hidden="1" x14ac:dyDescent="0.2">
      <c r="A175" s="60">
        <v>1</v>
      </c>
      <c r="B175" s="60" t="s">
        <v>66</v>
      </c>
      <c r="C175" s="59">
        <v>24</v>
      </c>
      <c r="D175" s="59">
        <v>24</v>
      </c>
      <c r="E175" s="59" t="s">
        <v>69</v>
      </c>
      <c r="F175" s="59" t="s">
        <v>65</v>
      </c>
      <c r="G175" s="59" t="s">
        <v>77</v>
      </c>
      <c r="H175" s="58">
        <v>1026300760</v>
      </c>
      <c r="I175" s="58">
        <v>0</v>
      </c>
      <c r="J175" s="58">
        <v>1026300760</v>
      </c>
      <c r="K175" s="58">
        <v>0</v>
      </c>
      <c r="L175" s="58">
        <v>0</v>
      </c>
      <c r="M175" s="58"/>
      <c r="N175" s="58">
        <v>700000000</v>
      </c>
      <c r="O175" s="58">
        <v>200000000</v>
      </c>
      <c r="P175" s="58">
        <v>126300760</v>
      </c>
      <c r="Q175" s="58"/>
      <c r="R175" s="58"/>
      <c r="S175" s="57">
        <f t="shared" si="33"/>
        <v>1026300760</v>
      </c>
      <c r="T175" s="57">
        <f>H175-S175</f>
        <v>0</v>
      </c>
      <c r="U175" s="57"/>
      <c r="V175" s="70"/>
      <c r="W175" s="70"/>
    </row>
    <row r="176" spans="1:23" s="54" customFormat="1" hidden="1" x14ac:dyDescent="0.2">
      <c r="A176" s="60">
        <v>1</v>
      </c>
      <c r="B176" s="60" t="s">
        <v>66</v>
      </c>
      <c r="C176" s="59">
        <v>24</v>
      </c>
      <c r="D176" s="59">
        <v>24</v>
      </c>
      <c r="E176" s="59" t="s">
        <v>69</v>
      </c>
      <c r="F176" s="59" t="s">
        <v>65</v>
      </c>
      <c r="G176" s="59" t="s">
        <v>76</v>
      </c>
      <c r="H176" s="58">
        <v>1539451140</v>
      </c>
      <c r="I176" s="58">
        <v>0</v>
      </c>
      <c r="J176" s="58">
        <v>1539451140</v>
      </c>
      <c r="K176" s="58">
        <v>0</v>
      </c>
      <c r="L176" s="58">
        <v>0</v>
      </c>
      <c r="M176" s="58"/>
      <c r="N176" s="58">
        <v>800000000</v>
      </c>
      <c r="O176" s="58">
        <v>500000000</v>
      </c>
      <c r="P176" s="58">
        <v>239451140</v>
      </c>
      <c r="Q176" s="58"/>
      <c r="R176" s="58"/>
      <c r="S176" s="57">
        <f t="shared" si="33"/>
        <v>1539451140</v>
      </c>
      <c r="T176" s="57">
        <f>H176-S176</f>
        <v>0</v>
      </c>
      <c r="U176" s="57"/>
    </row>
    <row r="177" spans="1:23" s="54" customFormat="1" hidden="1" x14ac:dyDescent="0.2">
      <c r="A177" s="60">
        <v>1</v>
      </c>
      <c r="B177" s="60" t="s">
        <v>66</v>
      </c>
      <c r="C177" s="59">
        <v>24</v>
      </c>
      <c r="D177" s="59">
        <v>24</v>
      </c>
      <c r="E177" s="59" t="s">
        <v>69</v>
      </c>
      <c r="F177" s="59" t="s">
        <v>68</v>
      </c>
      <c r="G177" s="59" t="s">
        <v>75</v>
      </c>
      <c r="H177" s="58">
        <v>188513640</v>
      </c>
      <c r="I177" s="58">
        <v>141391470</v>
      </c>
      <c r="J177" s="58">
        <v>47122170</v>
      </c>
      <c r="K177" s="58">
        <v>141391470</v>
      </c>
      <c r="L177" s="58">
        <v>0</v>
      </c>
      <c r="M177" s="58">
        <f t="shared" ref="M177:R177" si="41">SUM(M178:M179)</f>
        <v>0</v>
      </c>
      <c r="N177" s="58">
        <f t="shared" si="41"/>
        <v>0</v>
      </c>
      <c r="O177" s="58">
        <f t="shared" si="41"/>
        <v>47122170</v>
      </c>
      <c r="P177" s="58">
        <f t="shared" si="41"/>
        <v>0</v>
      </c>
      <c r="Q177" s="58">
        <f t="shared" si="41"/>
        <v>0</v>
      </c>
      <c r="R177" s="58">
        <f t="shared" si="41"/>
        <v>0</v>
      </c>
      <c r="S177" s="57">
        <f t="shared" si="33"/>
        <v>188513640</v>
      </c>
      <c r="T177" s="57">
        <f>H177-S177</f>
        <v>0</v>
      </c>
      <c r="U177" s="57"/>
    </row>
    <row r="178" spans="1:23" customFormat="1" ht="22.5" hidden="1" x14ac:dyDescent="0.25">
      <c r="A178" s="67">
        <v>1</v>
      </c>
      <c r="B178" s="67" t="s">
        <v>70</v>
      </c>
      <c r="C178" s="66">
        <v>24</v>
      </c>
      <c r="D178" s="66">
        <v>2403041</v>
      </c>
      <c r="E178" s="66" t="s">
        <v>69</v>
      </c>
      <c r="F178" s="65" t="s">
        <v>68</v>
      </c>
      <c r="G178" s="65" t="s">
        <v>74</v>
      </c>
      <c r="H178" s="64"/>
      <c r="I178" s="63">
        <v>141391470</v>
      </c>
      <c r="J178" s="64"/>
      <c r="K178" s="63">
        <v>141391470</v>
      </c>
      <c r="L178" s="63">
        <f>I178-K178</f>
        <v>0</v>
      </c>
      <c r="M178" s="62"/>
      <c r="N178" s="62"/>
      <c r="O178" s="62"/>
      <c r="P178" s="62"/>
      <c r="Q178" s="62"/>
      <c r="R178" s="62"/>
      <c r="S178" s="61">
        <f t="shared" si="33"/>
        <v>141391470</v>
      </c>
      <c r="T178" s="61">
        <f>I178-S178</f>
        <v>0</v>
      </c>
      <c r="U178" s="61" t="s">
        <v>73</v>
      </c>
      <c r="W178" s="69"/>
    </row>
    <row r="179" spans="1:23" customFormat="1" ht="22.5" hidden="1" x14ac:dyDescent="0.25">
      <c r="A179" s="67">
        <v>1</v>
      </c>
      <c r="B179" s="67" t="s">
        <v>70</v>
      </c>
      <c r="C179" s="66">
        <v>24</v>
      </c>
      <c r="D179" s="66">
        <v>2403041</v>
      </c>
      <c r="E179" s="66" t="s">
        <v>69</v>
      </c>
      <c r="F179" s="65" t="s">
        <v>68</v>
      </c>
      <c r="G179" s="65" t="s">
        <v>67</v>
      </c>
      <c r="H179" s="64"/>
      <c r="I179" s="63"/>
      <c r="J179" s="64"/>
      <c r="K179" s="63"/>
      <c r="L179" s="63">
        <f>I179-K179</f>
        <v>0</v>
      </c>
      <c r="M179" s="62"/>
      <c r="N179" s="62"/>
      <c r="O179" s="68">
        <f>J177</f>
        <v>47122170</v>
      </c>
      <c r="P179" s="62"/>
      <c r="Q179" s="62"/>
      <c r="R179" s="62"/>
      <c r="S179" s="61">
        <f t="shared" si="33"/>
        <v>47122170</v>
      </c>
      <c r="T179" s="61">
        <f>I179-S179</f>
        <v>-47122170</v>
      </c>
      <c r="U179" s="61"/>
    </row>
    <row r="180" spans="1:23" s="54" customFormat="1" hidden="1" x14ac:dyDescent="0.2">
      <c r="A180" s="60">
        <v>1</v>
      </c>
      <c r="B180" s="60" t="s">
        <v>66</v>
      </c>
      <c r="C180" s="59">
        <v>24</v>
      </c>
      <c r="D180" s="59">
        <v>24</v>
      </c>
      <c r="E180" s="59" t="s">
        <v>69</v>
      </c>
      <c r="F180" s="59" t="s">
        <v>68</v>
      </c>
      <c r="G180" s="59" t="s">
        <v>72</v>
      </c>
      <c r="H180" s="58">
        <v>282770460</v>
      </c>
      <c r="I180" s="58">
        <v>40000000</v>
      </c>
      <c r="J180" s="58">
        <v>242770460</v>
      </c>
      <c r="K180" s="58">
        <v>0</v>
      </c>
      <c r="L180" s="58">
        <v>40000000</v>
      </c>
      <c r="M180" s="58">
        <f t="shared" ref="M180:R180" si="42">SUM(M181:M182)</f>
        <v>40000000</v>
      </c>
      <c r="N180" s="58">
        <f t="shared" si="42"/>
        <v>100000000</v>
      </c>
      <c r="O180" s="58">
        <f t="shared" si="42"/>
        <v>100000000</v>
      </c>
      <c r="P180" s="58">
        <f t="shared" si="42"/>
        <v>42770460</v>
      </c>
      <c r="Q180" s="58">
        <f t="shared" si="42"/>
        <v>0</v>
      </c>
      <c r="R180" s="58">
        <f t="shared" si="42"/>
        <v>0</v>
      </c>
      <c r="S180" s="57">
        <f t="shared" si="33"/>
        <v>282770460</v>
      </c>
      <c r="T180" s="57">
        <f>H180-S180</f>
        <v>0</v>
      </c>
      <c r="U180" s="57"/>
    </row>
    <row r="181" spans="1:23" customFormat="1" ht="22.5" hidden="1" x14ac:dyDescent="0.25">
      <c r="A181" s="67">
        <v>1</v>
      </c>
      <c r="B181" s="67" t="s">
        <v>70</v>
      </c>
      <c r="C181" s="66">
        <v>24</v>
      </c>
      <c r="D181" s="66">
        <v>2403041</v>
      </c>
      <c r="E181" s="66" t="s">
        <v>69</v>
      </c>
      <c r="F181" s="65" t="s">
        <v>68</v>
      </c>
      <c r="G181" s="65" t="s">
        <v>71</v>
      </c>
      <c r="H181" s="64"/>
      <c r="I181" s="63">
        <v>40000000</v>
      </c>
      <c r="J181" s="64"/>
      <c r="K181" s="63"/>
      <c r="L181" s="63">
        <f>I181-K181</f>
        <v>40000000</v>
      </c>
      <c r="M181" s="62">
        <v>40000000</v>
      </c>
      <c r="N181" s="62"/>
      <c r="O181" s="62"/>
      <c r="P181" s="62"/>
      <c r="Q181" s="62"/>
      <c r="R181" s="62"/>
      <c r="S181" s="61">
        <f t="shared" si="33"/>
        <v>40000000</v>
      </c>
      <c r="T181" s="61">
        <f>I181-S181</f>
        <v>0</v>
      </c>
      <c r="U181" s="61"/>
    </row>
    <row r="182" spans="1:23" customFormat="1" ht="22.5" hidden="1" x14ac:dyDescent="0.25">
      <c r="A182" s="67">
        <v>1</v>
      </c>
      <c r="B182" s="67" t="s">
        <v>70</v>
      </c>
      <c r="C182" s="66">
        <v>24</v>
      </c>
      <c r="D182" s="66">
        <v>2403041</v>
      </c>
      <c r="E182" s="66" t="s">
        <v>69</v>
      </c>
      <c r="F182" s="65" t="s">
        <v>68</v>
      </c>
      <c r="G182" s="65" t="s">
        <v>67</v>
      </c>
      <c r="H182" s="64"/>
      <c r="I182" s="63"/>
      <c r="J182" s="64"/>
      <c r="K182" s="63"/>
      <c r="L182" s="63">
        <f>I182-K182</f>
        <v>0</v>
      </c>
      <c r="M182" s="62"/>
      <c r="N182" s="62">
        <v>100000000</v>
      </c>
      <c r="O182" s="62">
        <v>100000000</v>
      </c>
      <c r="P182" s="62">
        <v>42770460</v>
      </c>
      <c r="Q182" s="62"/>
      <c r="R182" s="62"/>
      <c r="S182" s="61">
        <f t="shared" si="33"/>
        <v>242770460</v>
      </c>
      <c r="T182" s="61">
        <f>I182-S182</f>
        <v>-242770460</v>
      </c>
      <c r="U182" s="61"/>
    </row>
    <row r="183" spans="1:23" s="54" customFormat="1" hidden="1" x14ac:dyDescent="0.2">
      <c r="A183" s="60">
        <v>1</v>
      </c>
      <c r="B183" s="60" t="s">
        <v>66</v>
      </c>
      <c r="C183" s="59">
        <v>24</v>
      </c>
      <c r="D183" s="59">
        <v>24</v>
      </c>
      <c r="E183" s="59" t="s">
        <v>34</v>
      </c>
      <c r="F183" s="59" t="s">
        <v>65</v>
      </c>
      <c r="G183" s="59" t="s">
        <v>64</v>
      </c>
      <c r="H183" s="58">
        <v>960400000</v>
      </c>
      <c r="I183" s="58">
        <v>0</v>
      </c>
      <c r="J183" s="58">
        <v>960400000</v>
      </c>
      <c r="K183" s="58">
        <v>0</v>
      </c>
      <c r="L183" s="58">
        <v>0</v>
      </c>
      <c r="M183" s="58"/>
      <c r="N183" s="58"/>
      <c r="O183" s="58">
        <v>960400000</v>
      </c>
      <c r="P183" s="58"/>
      <c r="Q183" s="58"/>
      <c r="R183" s="58"/>
      <c r="S183" s="57">
        <f t="shared" si="33"/>
        <v>960400000</v>
      </c>
      <c r="T183" s="57">
        <f>H183-S183</f>
        <v>0</v>
      </c>
      <c r="U183" s="57"/>
    </row>
    <row r="185" spans="1:23" x14ac:dyDescent="0.2">
      <c r="H185" s="55"/>
      <c r="I185" s="55"/>
      <c r="J185" s="55"/>
      <c r="K185" s="55"/>
      <c r="L185" s="55"/>
    </row>
    <row r="186" spans="1:23" x14ac:dyDescent="0.2">
      <c r="H186" s="55"/>
      <c r="I186" s="55"/>
      <c r="J186" s="55"/>
      <c r="K186" s="55"/>
      <c r="L186" s="55"/>
      <c r="N186" s="56">
        <f>+N13+N3</f>
        <v>30374240</v>
      </c>
    </row>
    <row r="187" spans="1:23" x14ac:dyDescent="0.2">
      <c r="G187" s="55"/>
      <c r="H187" s="55"/>
      <c r="I187" s="55"/>
      <c r="J187" s="55"/>
      <c r="K187" s="55"/>
      <c r="L187" s="55"/>
    </row>
    <row r="188" spans="1:23" x14ac:dyDescent="0.2">
      <c r="G188" s="56"/>
      <c r="H188" s="55"/>
      <c r="I188" s="55"/>
      <c r="J188" s="55"/>
      <c r="K188" s="55"/>
      <c r="L188" s="55"/>
    </row>
    <row r="189" spans="1:23" x14ac:dyDescent="0.2">
      <c r="G189" s="56"/>
      <c r="H189" s="55"/>
      <c r="I189" s="55"/>
      <c r="J189" s="55"/>
      <c r="K189" s="55"/>
      <c r="L189" s="55"/>
    </row>
    <row r="190" spans="1:23" x14ac:dyDescent="0.2">
      <c r="H190" s="55"/>
      <c r="I190" s="55"/>
      <c r="J190" s="55"/>
      <c r="K190" s="55"/>
      <c r="L190" s="55"/>
    </row>
    <row r="191" spans="1:23" x14ac:dyDescent="0.2">
      <c r="H191" s="55"/>
      <c r="I191" s="55"/>
      <c r="J191" s="55"/>
      <c r="K191" s="55"/>
      <c r="L191" s="55"/>
    </row>
    <row r="192" spans="1:23" x14ac:dyDescent="0.2">
      <c r="H192" s="55"/>
    </row>
    <row r="193" spans="8:8" x14ac:dyDescent="0.2">
      <c r="H193" s="55"/>
    </row>
  </sheetData>
  <autoFilter ref="A2:X183" xr:uid="{00000000-0009-0000-0000-000001000000}">
    <filterColumn colId="4">
      <filters>
        <filter val="LAZOS"/>
      </filters>
    </filterColumn>
    <filterColumn colId="13">
      <filters>
        <filter val="10.841.476"/>
        <filter val="100.000"/>
        <filter val="100.960.680"/>
        <filter val="193.997.480"/>
        <filter val="440.276"/>
        <filter val="50.000"/>
        <filter val="8.300"/>
        <filter val="92.778.500"/>
      </filters>
    </filterColumn>
  </autoFilter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W256"/>
  <sheetViews>
    <sheetView topLeftCell="I1" zoomScale="90" zoomScaleNormal="90" workbookViewId="0">
      <pane ySplit="2" topLeftCell="A169" activePane="bottomLeft" state="frozen"/>
      <selection activeCell="G1" sqref="G1"/>
      <selection pane="bottomLeft" activeCell="N169" sqref="N169"/>
    </sheetView>
  </sheetViews>
  <sheetFormatPr baseColWidth="10" defaultColWidth="11.42578125" defaultRowHeight="12.75" x14ac:dyDescent="0.2"/>
  <cols>
    <col min="1" max="1" width="8.140625" style="53" customWidth="1"/>
    <col min="2" max="2" width="5.7109375" style="53" customWidth="1"/>
    <col min="3" max="3" width="4.5703125" style="53" customWidth="1"/>
    <col min="4" max="4" width="11.5703125" style="53" customWidth="1"/>
    <col min="5" max="5" width="9.5703125" style="53" customWidth="1"/>
    <col min="6" max="6" width="28.140625" style="53" customWidth="1"/>
    <col min="7" max="7" width="28.85546875" style="53" customWidth="1"/>
    <col min="8" max="8" width="15.7109375" style="53" bestFit="1" customWidth="1"/>
    <col min="9" max="9" width="16.85546875" style="53" bestFit="1" customWidth="1"/>
    <col min="10" max="10" width="15.85546875" style="53" customWidth="1"/>
    <col min="11" max="11" width="16" style="53" customWidth="1"/>
    <col min="12" max="12" width="14.42578125" style="53" customWidth="1"/>
    <col min="13" max="17" width="11.7109375" style="53" customWidth="1"/>
    <col min="18" max="18" width="14.7109375" style="53" customWidth="1"/>
    <col min="19" max="19" width="16.85546875" style="54" customWidth="1"/>
    <col min="20" max="20" width="14.85546875" style="53" customWidth="1"/>
    <col min="21" max="21" width="28.5703125" style="53" customWidth="1"/>
    <col min="22" max="22" width="11.42578125" style="53"/>
    <col min="23" max="23" width="12" style="53" bestFit="1" customWidth="1"/>
    <col min="24" max="16384" width="11.42578125" style="53"/>
  </cols>
  <sheetData>
    <row r="1" spans="1:23" ht="13.5" thickBot="1" x14ac:dyDescent="0.25">
      <c r="H1" s="92">
        <f t="shared" ref="H1:R1" si="0">SUBTOTAL(9,H3:H248)</f>
        <v>442358000</v>
      </c>
      <c r="I1" s="92">
        <f t="shared" si="0"/>
        <v>418926840</v>
      </c>
      <c r="J1" s="92">
        <f t="shared" si="0"/>
        <v>163073440</v>
      </c>
      <c r="K1" s="92">
        <f t="shared" si="0"/>
        <v>266723091</v>
      </c>
      <c r="L1" s="92">
        <f t="shared" si="0"/>
        <v>152203749</v>
      </c>
      <c r="M1" s="92">
        <f t="shared" si="0"/>
        <v>15822639</v>
      </c>
      <c r="N1" s="92">
        <f t="shared" si="0"/>
        <v>116332182</v>
      </c>
      <c r="O1" s="92">
        <f t="shared" si="0"/>
        <v>21900000</v>
      </c>
      <c r="P1" s="92">
        <f t="shared" si="0"/>
        <v>21900000</v>
      </c>
      <c r="Q1" s="92">
        <f t="shared" si="0"/>
        <v>206447091</v>
      </c>
      <c r="R1" s="92">
        <f t="shared" si="0"/>
        <v>14348928</v>
      </c>
    </row>
    <row r="2" spans="1:23" ht="25.5" x14ac:dyDescent="0.2">
      <c r="A2" s="90" t="s">
        <v>238</v>
      </c>
      <c r="B2" s="90" t="s">
        <v>237</v>
      </c>
      <c r="C2" s="90" t="s">
        <v>0</v>
      </c>
      <c r="D2" s="90" t="s">
        <v>236</v>
      </c>
      <c r="E2" s="90" t="s">
        <v>235</v>
      </c>
      <c r="F2" s="90" t="s">
        <v>234</v>
      </c>
      <c r="G2" s="90" t="s">
        <v>233</v>
      </c>
      <c r="H2" s="90" t="s">
        <v>232</v>
      </c>
      <c r="I2" s="90" t="s">
        <v>231</v>
      </c>
      <c r="J2" s="90" t="s">
        <v>230</v>
      </c>
      <c r="K2" s="90" t="s">
        <v>402</v>
      </c>
      <c r="L2" s="89" t="s">
        <v>228</v>
      </c>
      <c r="M2" s="88" t="s">
        <v>27</v>
      </c>
      <c r="N2" s="88" t="s">
        <v>28</v>
      </c>
      <c r="O2" s="88" t="s">
        <v>29</v>
      </c>
      <c r="P2" s="88" t="s">
        <v>30</v>
      </c>
      <c r="Q2" s="88" t="s">
        <v>31</v>
      </c>
      <c r="R2" s="88" t="s">
        <v>32</v>
      </c>
      <c r="S2" s="87" t="s">
        <v>227</v>
      </c>
      <c r="T2" s="87" t="s">
        <v>226</v>
      </c>
      <c r="U2" s="87" t="s">
        <v>225</v>
      </c>
    </row>
    <row r="3" spans="1:23" s="54" customFormat="1" ht="12.75" hidden="1" customHeight="1" x14ac:dyDescent="0.2">
      <c r="A3" s="60">
        <v>1</v>
      </c>
      <c r="B3" s="60" t="s">
        <v>66</v>
      </c>
      <c r="C3" s="59">
        <v>21</v>
      </c>
      <c r="D3" s="59">
        <v>21</v>
      </c>
      <c r="E3" s="59" t="s">
        <v>398</v>
      </c>
      <c r="F3" s="59" t="s">
        <v>241</v>
      </c>
      <c r="G3" s="59" t="s">
        <v>241</v>
      </c>
      <c r="H3" s="58">
        <f t="shared" ref="H3:R3" si="1">SUM(H4:H5)</f>
        <v>1001514</v>
      </c>
      <c r="I3" s="58">
        <f t="shared" si="1"/>
        <v>220138</v>
      </c>
      <c r="J3" s="58">
        <f t="shared" si="1"/>
        <v>781376</v>
      </c>
      <c r="K3" s="58">
        <f t="shared" si="1"/>
        <v>220138</v>
      </c>
      <c r="L3" s="58">
        <f t="shared" si="1"/>
        <v>0</v>
      </c>
      <c r="M3" s="58">
        <f t="shared" si="1"/>
        <v>0</v>
      </c>
      <c r="N3" s="58">
        <f t="shared" si="1"/>
        <v>241517</v>
      </c>
      <c r="O3" s="58">
        <f t="shared" si="1"/>
        <v>100000</v>
      </c>
      <c r="P3" s="58">
        <f t="shared" si="1"/>
        <v>100000</v>
      </c>
      <c r="Q3" s="58">
        <f t="shared" si="1"/>
        <v>109948</v>
      </c>
      <c r="R3" s="58">
        <f t="shared" si="1"/>
        <v>229911</v>
      </c>
      <c r="S3" s="57">
        <f t="shared" ref="S3:S34" si="2">SUM(K3:R3)-L3</f>
        <v>1001514</v>
      </c>
      <c r="T3" s="57">
        <f>H3-S3</f>
        <v>0</v>
      </c>
      <c r="U3" s="57"/>
    </row>
    <row r="4" spans="1:23" ht="12.75" hidden="1" customHeight="1" x14ac:dyDescent="0.2">
      <c r="A4" s="99">
        <v>1</v>
      </c>
      <c r="B4" s="99" t="s">
        <v>66</v>
      </c>
      <c r="C4" s="97">
        <v>21</v>
      </c>
      <c r="D4" s="97">
        <v>2101004006</v>
      </c>
      <c r="E4" s="97" t="s">
        <v>398</v>
      </c>
      <c r="F4" s="98" t="s">
        <v>88</v>
      </c>
      <c r="G4" s="97"/>
      <c r="H4" s="96">
        <v>361655</v>
      </c>
      <c r="I4" s="96">
        <v>220138</v>
      </c>
      <c r="J4" s="96">
        <v>141517</v>
      </c>
      <c r="K4" s="96">
        <v>220138</v>
      </c>
      <c r="L4" s="96">
        <v>0</v>
      </c>
      <c r="M4" s="95"/>
      <c r="N4" s="95">
        <v>141517</v>
      </c>
      <c r="O4" s="95"/>
      <c r="P4" s="95"/>
      <c r="Q4" s="95"/>
      <c r="R4" s="95"/>
      <c r="S4" s="94">
        <f t="shared" si="2"/>
        <v>361655</v>
      </c>
      <c r="T4" s="94">
        <f>H4-S4</f>
        <v>0</v>
      </c>
      <c r="U4" s="94"/>
    </row>
    <row r="5" spans="1:23" ht="12.75" hidden="1" customHeight="1" x14ac:dyDescent="0.2">
      <c r="A5" s="99">
        <v>1</v>
      </c>
      <c r="B5" s="99" t="s">
        <v>66</v>
      </c>
      <c r="C5" s="97">
        <v>21</v>
      </c>
      <c r="D5" s="97">
        <v>2102004006</v>
      </c>
      <c r="E5" s="97" t="s">
        <v>398</v>
      </c>
      <c r="F5" s="98" t="s">
        <v>88</v>
      </c>
      <c r="G5" s="97"/>
      <c r="H5" s="96">
        <v>639859</v>
      </c>
      <c r="I5" s="96">
        <v>0</v>
      </c>
      <c r="J5" s="96">
        <v>639859</v>
      </c>
      <c r="K5" s="96">
        <v>0</v>
      </c>
      <c r="L5" s="96">
        <v>0</v>
      </c>
      <c r="M5" s="95"/>
      <c r="N5" s="95">
        <v>100000</v>
      </c>
      <c r="O5" s="95">
        <v>100000</v>
      </c>
      <c r="P5" s="95">
        <v>100000</v>
      </c>
      <c r="Q5" s="95">
        <v>109948</v>
      </c>
      <c r="R5" s="95">
        <v>229911</v>
      </c>
      <c r="S5" s="94">
        <f t="shared" si="2"/>
        <v>639859</v>
      </c>
      <c r="T5" s="94">
        <f>H5-S5</f>
        <v>0</v>
      </c>
      <c r="U5" s="94"/>
    </row>
    <row r="6" spans="1:23" s="54" customFormat="1" ht="12.75" hidden="1" customHeight="1" x14ac:dyDescent="0.2">
      <c r="A6" s="60">
        <v>1</v>
      </c>
      <c r="B6" s="60" t="s">
        <v>66</v>
      </c>
      <c r="C6" s="59">
        <v>22</v>
      </c>
      <c r="D6" s="59">
        <v>22</v>
      </c>
      <c r="E6" s="59" t="s">
        <v>398</v>
      </c>
      <c r="F6" s="71" t="s">
        <v>81</v>
      </c>
      <c r="G6" s="59" t="s">
        <v>86</v>
      </c>
      <c r="H6" s="58">
        <f>H7+H11</f>
        <v>123500000</v>
      </c>
      <c r="I6" s="58">
        <f>I7+I11</f>
        <v>105952420</v>
      </c>
      <c r="J6" s="58">
        <f>H6-I6</f>
        <v>17547580</v>
      </c>
      <c r="K6" s="58">
        <f t="shared" ref="K6:R6" si="3">K7+K11</f>
        <v>54177420</v>
      </c>
      <c r="L6" s="58">
        <f t="shared" si="3"/>
        <v>51775000</v>
      </c>
      <c r="M6" s="58">
        <f t="shared" si="3"/>
        <v>0</v>
      </c>
      <c r="N6" s="58">
        <f t="shared" si="3"/>
        <v>12497580</v>
      </c>
      <c r="O6" s="58">
        <f t="shared" si="3"/>
        <v>21800000</v>
      </c>
      <c r="P6" s="58">
        <f t="shared" si="3"/>
        <v>0</v>
      </c>
      <c r="Q6" s="58">
        <f t="shared" si="3"/>
        <v>0</v>
      </c>
      <c r="R6" s="58">
        <f t="shared" si="3"/>
        <v>35025000</v>
      </c>
      <c r="S6" s="57">
        <f t="shared" si="2"/>
        <v>123500000</v>
      </c>
      <c r="T6" s="57">
        <f>H6-S6</f>
        <v>0</v>
      </c>
      <c r="U6" s="57"/>
    </row>
    <row r="7" spans="1:23" ht="12.75" hidden="1" customHeight="1" x14ac:dyDescent="0.2">
      <c r="A7" s="99">
        <v>1</v>
      </c>
      <c r="B7" s="99" t="s">
        <v>66</v>
      </c>
      <c r="C7" s="97">
        <v>22</v>
      </c>
      <c r="D7" s="97">
        <v>2211001001</v>
      </c>
      <c r="E7" s="97" t="s">
        <v>398</v>
      </c>
      <c r="F7" s="98" t="s">
        <v>399</v>
      </c>
      <c r="G7" s="97"/>
      <c r="H7" s="96">
        <v>119177420</v>
      </c>
      <c r="I7" s="96">
        <f>SUM(I8:I10)</f>
        <v>105952420</v>
      </c>
      <c r="J7" s="96">
        <f>H7-I7</f>
        <v>13225000</v>
      </c>
      <c r="K7" s="96">
        <f t="shared" ref="K7:R7" si="4">SUM(K8:K10)</f>
        <v>54177420</v>
      </c>
      <c r="L7" s="96">
        <f t="shared" si="4"/>
        <v>51775000</v>
      </c>
      <c r="M7" s="96">
        <f t="shared" si="4"/>
        <v>0</v>
      </c>
      <c r="N7" s="96">
        <f t="shared" si="4"/>
        <v>8175000</v>
      </c>
      <c r="O7" s="96">
        <f t="shared" si="4"/>
        <v>21800000</v>
      </c>
      <c r="P7" s="96">
        <f t="shared" si="4"/>
        <v>0</v>
      </c>
      <c r="Q7" s="96">
        <f t="shared" si="4"/>
        <v>0</v>
      </c>
      <c r="R7" s="96">
        <f t="shared" si="4"/>
        <v>35025000</v>
      </c>
      <c r="S7" s="96">
        <f t="shared" si="2"/>
        <v>119177420</v>
      </c>
      <c r="T7" s="96">
        <f>H7-S7</f>
        <v>0</v>
      </c>
      <c r="U7" s="96"/>
    </row>
    <row r="8" spans="1:23" customFormat="1" ht="67.5" hidden="1" customHeight="1" x14ac:dyDescent="0.25">
      <c r="A8" s="67">
        <v>1</v>
      </c>
      <c r="B8" s="67" t="s">
        <v>70</v>
      </c>
      <c r="C8" s="66">
        <v>22</v>
      </c>
      <c r="D8" s="66">
        <v>2211001001</v>
      </c>
      <c r="E8" s="66" t="s">
        <v>398</v>
      </c>
      <c r="F8" s="65" t="s">
        <v>399</v>
      </c>
      <c r="G8" s="65" t="s">
        <v>401</v>
      </c>
      <c r="H8" s="64"/>
      <c r="I8" s="63">
        <v>54177420</v>
      </c>
      <c r="J8" s="64"/>
      <c r="K8" s="63">
        <v>54177420</v>
      </c>
      <c r="L8" s="63">
        <f>I8-K8</f>
        <v>0</v>
      </c>
      <c r="M8" s="62"/>
      <c r="N8" s="62"/>
      <c r="O8" s="62"/>
      <c r="P8" s="62"/>
      <c r="Q8" s="62"/>
      <c r="R8" s="62"/>
      <c r="S8" s="61">
        <f t="shared" si="2"/>
        <v>54177420</v>
      </c>
      <c r="T8" s="61">
        <f>I8-S8</f>
        <v>0</v>
      </c>
      <c r="U8" s="61" t="s">
        <v>73</v>
      </c>
    </row>
    <row r="9" spans="1:23" customFormat="1" ht="67.5" hidden="1" customHeight="1" x14ac:dyDescent="0.25">
      <c r="A9" s="67">
        <v>1</v>
      </c>
      <c r="B9" s="67" t="s">
        <v>70</v>
      </c>
      <c r="C9" s="66">
        <v>22</v>
      </c>
      <c r="D9" s="66">
        <v>2211001001</v>
      </c>
      <c r="E9" s="66" t="s">
        <v>398</v>
      </c>
      <c r="F9" s="65" t="s">
        <v>399</v>
      </c>
      <c r="G9" s="65" t="s">
        <v>400</v>
      </c>
      <c r="H9" s="64"/>
      <c r="I9" s="63">
        <v>51775000</v>
      </c>
      <c r="J9" s="64"/>
      <c r="K9" s="63"/>
      <c r="L9" s="63">
        <f>I9-K9</f>
        <v>51775000</v>
      </c>
      <c r="M9" s="81"/>
      <c r="N9" s="81">
        <f>2725000+5450000</f>
        <v>8175000</v>
      </c>
      <c r="O9" s="62">
        <f>10900000*2</f>
        <v>21800000</v>
      </c>
      <c r="P9" s="62"/>
      <c r="Q9" s="62"/>
      <c r="R9" s="81">
        <f>13625000+8175000</f>
        <v>21800000</v>
      </c>
      <c r="S9" s="61">
        <f t="shared" si="2"/>
        <v>51775000</v>
      </c>
      <c r="T9" s="61">
        <f>I9-S9</f>
        <v>0</v>
      </c>
      <c r="U9" s="101"/>
    </row>
    <row r="10" spans="1:23" customFormat="1" ht="22.5" hidden="1" customHeight="1" x14ac:dyDescent="0.25">
      <c r="A10" s="67">
        <v>1</v>
      </c>
      <c r="B10" s="67" t="s">
        <v>70</v>
      </c>
      <c r="C10" s="66">
        <v>22</v>
      </c>
      <c r="D10" s="66">
        <v>2211001001</v>
      </c>
      <c r="E10" s="66" t="s">
        <v>398</v>
      </c>
      <c r="F10" s="65" t="s">
        <v>399</v>
      </c>
      <c r="G10" s="65" t="s">
        <v>350</v>
      </c>
      <c r="H10" s="64"/>
      <c r="I10" s="63"/>
      <c r="J10" s="64"/>
      <c r="K10" s="63"/>
      <c r="L10" s="63"/>
      <c r="M10" s="81"/>
      <c r="N10" s="81"/>
      <c r="O10" s="62"/>
      <c r="P10" s="62"/>
      <c r="Q10" s="62"/>
      <c r="R10" s="81">
        <v>13225000</v>
      </c>
      <c r="S10" s="61">
        <f t="shared" si="2"/>
        <v>13225000</v>
      </c>
      <c r="T10" s="61">
        <f>I10-S10</f>
        <v>-13225000</v>
      </c>
      <c r="U10" s="101"/>
    </row>
    <row r="11" spans="1:23" ht="25.5" hidden="1" customHeight="1" x14ac:dyDescent="0.25">
      <c r="A11" s="99">
        <v>1</v>
      </c>
      <c r="B11" s="99" t="s">
        <v>66</v>
      </c>
      <c r="C11" s="97">
        <v>22</v>
      </c>
      <c r="D11" s="97">
        <v>2211999015</v>
      </c>
      <c r="E11" s="97" t="s">
        <v>398</v>
      </c>
      <c r="F11" s="98" t="s">
        <v>369</v>
      </c>
      <c r="G11" s="97"/>
      <c r="H11" s="96">
        <v>4322580</v>
      </c>
      <c r="I11" s="96"/>
      <c r="J11" s="96">
        <v>4322580</v>
      </c>
      <c r="K11" s="96"/>
      <c r="L11" s="96"/>
      <c r="M11" s="96"/>
      <c r="N11" s="96">
        <v>4322580</v>
      </c>
      <c r="O11" s="96"/>
      <c r="P11" s="96"/>
      <c r="Q11" s="96"/>
      <c r="R11" s="96"/>
      <c r="S11" s="57">
        <f t="shared" si="2"/>
        <v>4322580</v>
      </c>
      <c r="T11" s="94">
        <f>H11-S11</f>
        <v>0</v>
      </c>
      <c r="U11" s="94"/>
      <c r="W11"/>
    </row>
    <row r="12" spans="1:23" s="54" customFormat="1" ht="12.75" hidden="1" customHeight="1" x14ac:dyDescent="0.25">
      <c r="A12" s="60">
        <v>1</v>
      </c>
      <c r="B12" s="60" t="s">
        <v>66</v>
      </c>
      <c r="C12" s="59">
        <v>22</v>
      </c>
      <c r="D12" s="59">
        <v>22</v>
      </c>
      <c r="E12" s="59" t="s">
        <v>394</v>
      </c>
      <c r="F12" s="71" t="s">
        <v>81</v>
      </c>
      <c r="G12" s="59" t="s">
        <v>86</v>
      </c>
      <c r="H12" s="58">
        <f>SUM(H13:H18)</f>
        <v>9396608</v>
      </c>
      <c r="I12" s="58">
        <f t="shared" ref="I12:R12" si="5">I13+I16</f>
        <v>911968</v>
      </c>
      <c r="J12" s="58">
        <f t="shared" si="5"/>
        <v>8484640</v>
      </c>
      <c r="K12" s="58">
        <f t="shared" si="5"/>
        <v>911968</v>
      </c>
      <c r="L12" s="58">
        <f t="shared" si="5"/>
        <v>0</v>
      </c>
      <c r="M12" s="58">
        <f t="shared" si="5"/>
        <v>0</v>
      </c>
      <c r="N12" s="58">
        <f t="shared" si="5"/>
        <v>0</v>
      </c>
      <c r="O12" s="58">
        <f t="shared" si="5"/>
        <v>0</v>
      </c>
      <c r="P12" s="58">
        <f t="shared" si="5"/>
        <v>0</v>
      </c>
      <c r="Q12" s="58">
        <f t="shared" si="5"/>
        <v>8484640</v>
      </c>
      <c r="R12" s="58">
        <f t="shared" si="5"/>
        <v>0</v>
      </c>
      <c r="S12" s="57">
        <f t="shared" si="2"/>
        <v>9396608</v>
      </c>
      <c r="T12" s="57">
        <f>H12-S12</f>
        <v>0</v>
      </c>
      <c r="U12" s="57" t="s">
        <v>397</v>
      </c>
      <c r="W12"/>
    </row>
    <row r="13" spans="1:23" ht="12.75" hidden="1" customHeight="1" x14ac:dyDescent="0.25">
      <c r="A13" s="99">
        <v>1</v>
      </c>
      <c r="B13" s="99" t="s">
        <v>66</v>
      </c>
      <c r="C13" s="97">
        <v>22</v>
      </c>
      <c r="D13" s="97">
        <v>2207002006</v>
      </c>
      <c r="E13" s="97" t="s">
        <v>394</v>
      </c>
      <c r="F13" s="98" t="s">
        <v>388</v>
      </c>
      <c r="G13" s="97"/>
      <c r="H13" s="96">
        <v>8306108</v>
      </c>
      <c r="I13" s="96">
        <v>562108</v>
      </c>
      <c r="J13" s="96">
        <f>H13-I13</f>
        <v>7744000</v>
      </c>
      <c r="K13" s="96">
        <v>562108</v>
      </c>
      <c r="L13" s="96">
        <f>SUBTOTAL(9,L14:L15)</f>
        <v>0</v>
      </c>
      <c r="M13" s="96">
        <f t="shared" ref="M13:R13" si="6">SUM(M15:M15)</f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7744000</v>
      </c>
      <c r="R13" s="96">
        <f t="shared" si="6"/>
        <v>0</v>
      </c>
      <c r="S13" s="96">
        <f t="shared" si="2"/>
        <v>8306108</v>
      </c>
      <c r="T13" s="94">
        <f>H13-S13</f>
        <v>0</v>
      </c>
      <c r="U13" s="94"/>
      <c r="W13"/>
    </row>
    <row r="14" spans="1:23" customFormat="1" ht="15" hidden="1" customHeight="1" x14ac:dyDescent="0.25">
      <c r="A14" s="67">
        <v>1</v>
      </c>
      <c r="B14" s="67" t="s">
        <v>70</v>
      </c>
      <c r="C14" s="66">
        <v>22</v>
      </c>
      <c r="D14" s="66">
        <v>2207002006</v>
      </c>
      <c r="E14" s="66" t="s">
        <v>394</v>
      </c>
      <c r="F14" s="65" t="s">
        <v>36</v>
      </c>
      <c r="G14" s="65" t="s">
        <v>396</v>
      </c>
      <c r="H14" s="64"/>
      <c r="I14" s="63">
        <v>562108</v>
      </c>
      <c r="J14" s="64"/>
      <c r="K14" s="63">
        <v>562108</v>
      </c>
      <c r="L14" s="63">
        <f>I14-K14</f>
        <v>0</v>
      </c>
      <c r="M14" s="62"/>
      <c r="N14" s="62"/>
      <c r="O14" s="62"/>
      <c r="P14" s="62"/>
      <c r="Q14" s="62"/>
      <c r="R14" s="62"/>
      <c r="S14" s="61">
        <f t="shared" si="2"/>
        <v>562108</v>
      </c>
      <c r="T14" s="61">
        <f>I14-S14</f>
        <v>0</v>
      </c>
      <c r="U14" s="61" t="s">
        <v>73</v>
      </c>
    </row>
    <row r="15" spans="1:23" customFormat="1" ht="15" hidden="1" customHeight="1" x14ac:dyDescent="0.25">
      <c r="A15" s="67">
        <v>1</v>
      </c>
      <c r="B15" s="67" t="s">
        <v>70</v>
      </c>
      <c r="C15" s="66">
        <v>22</v>
      </c>
      <c r="D15" s="66">
        <v>2207002006</v>
      </c>
      <c r="E15" s="66" t="s">
        <v>394</v>
      </c>
      <c r="F15" s="65" t="s">
        <v>36</v>
      </c>
      <c r="G15" s="65" t="s">
        <v>67</v>
      </c>
      <c r="H15" s="64"/>
      <c r="I15" s="63"/>
      <c r="J15" s="64"/>
      <c r="K15" s="63"/>
      <c r="L15" s="63">
        <f>I15-K15</f>
        <v>0</v>
      </c>
      <c r="M15" s="62"/>
      <c r="N15" s="62"/>
      <c r="O15" s="62"/>
      <c r="P15" s="62"/>
      <c r="Q15" s="62">
        <f>J13</f>
        <v>7744000</v>
      </c>
      <c r="R15" s="62"/>
      <c r="S15" s="61">
        <f t="shared" si="2"/>
        <v>7744000</v>
      </c>
      <c r="T15" s="61">
        <f>I15-S15</f>
        <v>-7744000</v>
      </c>
      <c r="U15" s="61"/>
    </row>
    <row r="16" spans="1:23" ht="12.75" hidden="1" customHeight="1" x14ac:dyDescent="0.25">
      <c r="A16" s="99">
        <v>1</v>
      </c>
      <c r="B16" s="99" t="s">
        <v>66</v>
      </c>
      <c r="C16" s="97">
        <v>22</v>
      </c>
      <c r="D16" s="97">
        <v>2208999000</v>
      </c>
      <c r="E16" s="97" t="s">
        <v>394</v>
      </c>
      <c r="F16" s="98" t="s">
        <v>36</v>
      </c>
      <c r="G16" s="97"/>
      <c r="H16" s="96">
        <v>1090500</v>
      </c>
      <c r="I16" s="96">
        <v>349860</v>
      </c>
      <c r="J16" s="96">
        <f>H16-I16</f>
        <v>740640</v>
      </c>
      <c r="K16" s="96">
        <v>349860</v>
      </c>
      <c r="L16" s="96">
        <f>SUM(L17:L18)</f>
        <v>0</v>
      </c>
      <c r="M16" s="96">
        <f t="shared" ref="M16:R16" si="7">SUM(M18:M18)</f>
        <v>0</v>
      </c>
      <c r="N16" s="96">
        <f t="shared" si="7"/>
        <v>0</v>
      </c>
      <c r="O16" s="96">
        <f t="shared" si="7"/>
        <v>0</v>
      </c>
      <c r="P16" s="96">
        <f t="shared" si="7"/>
        <v>0</v>
      </c>
      <c r="Q16" s="96">
        <f t="shared" si="7"/>
        <v>740640</v>
      </c>
      <c r="R16" s="96">
        <f t="shared" si="7"/>
        <v>0</v>
      </c>
      <c r="S16" s="96">
        <f t="shared" si="2"/>
        <v>1090500</v>
      </c>
      <c r="T16" s="94">
        <f>H16-S16</f>
        <v>0</v>
      </c>
      <c r="U16" s="94"/>
      <c r="W16"/>
    </row>
    <row r="17" spans="1:22" customFormat="1" ht="15" hidden="1" customHeight="1" x14ac:dyDescent="0.25">
      <c r="A17" s="67">
        <v>1</v>
      </c>
      <c r="B17" s="67" t="s">
        <v>70</v>
      </c>
      <c r="C17" s="66">
        <v>22</v>
      </c>
      <c r="D17" s="66">
        <v>2208999000</v>
      </c>
      <c r="E17" s="66" t="s">
        <v>394</v>
      </c>
      <c r="F17" s="65" t="s">
        <v>36</v>
      </c>
      <c r="G17" s="65" t="s">
        <v>395</v>
      </c>
      <c r="H17" s="64"/>
      <c r="I17" s="63">
        <v>349860</v>
      </c>
      <c r="J17" s="64"/>
      <c r="K17" s="63">
        <v>349860</v>
      </c>
      <c r="L17" s="63">
        <f>I17-K17</f>
        <v>0</v>
      </c>
      <c r="M17" s="62"/>
      <c r="N17" s="62"/>
      <c r="O17" s="62"/>
      <c r="P17" s="62"/>
      <c r="Q17" s="62"/>
      <c r="R17" s="62"/>
      <c r="S17" s="61">
        <f t="shared" si="2"/>
        <v>349860</v>
      </c>
      <c r="T17" s="61">
        <f>I17-S17</f>
        <v>0</v>
      </c>
      <c r="U17" s="61" t="s">
        <v>73</v>
      </c>
    </row>
    <row r="18" spans="1:22" customFormat="1" ht="15" hidden="1" customHeight="1" x14ac:dyDescent="0.25">
      <c r="A18" s="67">
        <v>1</v>
      </c>
      <c r="B18" s="67" t="s">
        <v>70</v>
      </c>
      <c r="C18" s="66">
        <v>22</v>
      </c>
      <c r="D18" s="66">
        <v>2208999000</v>
      </c>
      <c r="E18" s="66" t="s">
        <v>394</v>
      </c>
      <c r="F18" s="65" t="s">
        <v>36</v>
      </c>
      <c r="G18" s="65" t="s">
        <v>67</v>
      </c>
      <c r="H18" s="64"/>
      <c r="I18" s="63"/>
      <c r="J18" s="64"/>
      <c r="K18" s="63"/>
      <c r="L18" s="63">
        <f>I18-K18</f>
        <v>0</v>
      </c>
      <c r="M18" s="62"/>
      <c r="N18" s="62"/>
      <c r="O18" s="62"/>
      <c r="P18" s="62"/>
      <c r="Q18" s="62">
        <f>J16</f>
        <v>740640</v>
      </c>
      <c r="R18" s="62"/>
      <c r="S18" s="61">
        <f t="shared" si="2"/>
        <v>740640</v>
      </c>
      <c r="T18" s="61">
        <f>I18-S18</f>
        <v>-740640</v>
      </c>
      <c r="U18" s="61"/>
    </row>
    <row r="19" spans="1:22" s="54" customFormat="1" ht="12.75" hidden="1" customHeight="1" x14ac:dyDescent="0.2">
      <c r="A19" s="60">
        <v>1</v>
      </c>
      <c r="B19" s="60" t="s">
        <v>66</v>
      </c>
      <c r="C19" s="59">
        <v>21</v>
      </c>
      <c r="D19" s="59">
        <v>21</v>
      </c>
      <c r="E19" s="59" t="s">
        <v>385</v>
      </c>
      <c r="F19" s="59" t="s">
        <v>241</v>
      </c>
      <c r="G19" s="59" t="s">
        <v>241</v>
      </c>
      <c r="H19" s="58">
        <f>+H20+H21+H22</f>
        <v>125040341</v>
      </c>
      <c r="I19" s="58">
        <f>+I20+I21+I22</f>
        <v>124681212</v>
      </c>
      <c r="J19" s="58">
        <f>+J20+J21+J22</f>
        <v>359129</v>
      </c>
      <c r="K19" s="58">
        <f>+K20+K21+K22</f>
        <v>62388012</v>
      </c>
      <c r="L19" s="58">
        <f>+L20+L21+L22</f>
        <v>62293200</v>
      </c>
      <c r="M19" s="58">
        <f t="shared" ref="M19:R19" si="8">SUM(M20:M22)</f>
        <v>10382200</v>
      </c>
      <c r="N19" s="58">
        <f t="shared" si="8"/>
        <v>10482200</v>
      </c>
      <c r="O19" s="58">
        <f t="shared" si="8"/>
        <v>10482200</v>
      </c>
      <c r="P19" s="58">
        <f t="shared" si="8"/>
        <v>10482200</v>
      </c>
      <c r="Q19" s="58">
        <f t="shared" si="8"/>
        <v>10432157</v>
      </c>
      <c r="R19" s="58">
        <f t="shared" si="8"/>
        <v>10391372</v>
      </c>
      <c r="S19" s="57">
        <f t="shared" si="2"/>
        <v>125040341</v>
      </c>
      <c r="T19" s="57">
        <f>H19-S19</f>
        <v>0</v>
      </c>
      <c r="U19" s="57"/>
    </row>
    <row r="20" spans="1:22" ht="12.75" hidden="1" customHeight="1" x14ac:dyDescent="0.2">
      <c r="A20" s="99">
        <v>1</v>
      </c>
      <c r="B20" s="99" t="s">
        <v>66</v>
      </c>
      <c r="C20" s="97">
        <v>21</v>
      </c>
      <c r="D20" s="97">
        <v>2103001001</v>
      </c>
      <c r="E20" s="97" t="s">
        <v>385</v>
      </c>
      <c r="F20" s="97" t="s">
        <v>90</v>
      </c>
      <c r="G20" s="97"/>
      <c r="H20" s="96">
        <v>124586400</v>
      </c>
      <c r="I20" s="96">
        <v>124586400</v>
      </c>
      <c r="J20" s="96">
        <v>0</v>
      </c>
      <c r="K20" s="96">
        <v>62293200</v>
      </c>
      <c r="L20" s="96">
        <v>62293200</v>
      </c>
      <c r="M20" s="96">
        <v>10382200</v>
      </c>
      <c r="N20" s="96">
        <v>10382200</v>
      </c>
      <c r="O20" s="96">
        <v>10382200</v>
      </c>
      <c r="P20" s="96">
        <v>10382200</v>
      </c>
      <c r="Q20" s="96">
        <v>10382200</v>
      </c>
      <c r="R20" s="96">
        <v>10382200</v>
      </c>
      <c r="S20" s="57">
        <f t="shared" si="2"/>
        <v>124586400</v>
      </c>
      <c r="T20" s="94"/>
      <c r="U20" s="94"/>
      <c r="V20" s="109"/>
    </row>
    <row r="21" spans="1:22" ht="12.75" hidden="1" customHeight="1" x14ac:dyDescent="0.2">
      <c r="A21" s="99">
        <v>1</v>
      </c>
      <c r="B21" s="99" t="s">
        <v>66</v>
      </c>
      <c r="C21" s="97">
        <v>21</v>
      </c>
      <c r="D21" s="97">
        <v>2103001002</v>
      </c>
      <c r="E21" s="97" t="s">
        <v>385</v>
      </c>
      <c r="F21" s="98" t="s">
        <v>88</v>
      </c>
      <c r="G21" s="97"/>
      <c r="H21" s="96">
        <v>9172</v>
      </c>
      <c r="I21" s="96">
        <v>0</v>
      </c>
      <c r="J21" s="96">
        <v>9172</v>
      </c>
      <c r="K21" s="96">
        <v>0</v>
      </c>
      <c r="L21" s="96">
        <v>0</v>
      </c>
      <c r="M21" s="96"/>
      <c r="N21" s="96"/>
      <c r="O21" s="96"/>
      <c r="P21" s="96"/>
      <c r="Q21" s="96"/>
      <c r="R21" s="96">
        <v>9172</v>
      </c>
      <c r="S21" s="57">
        <f t="shared" si="2"/>
        <v>9172</v>
      </c>
      <c r="T21" s="94">
        <f>H21-S21</f>
        <v>0</v>
      </c>
      <c r="U21" s="94"/>
    </row>
    <row r="22" spans="1:22" ht="12.75" hidden="1" customHeight="1" x14ac:dyDescent="0.2">
      <c r="A22" s="99">
        <v>1</v>
      </c>
      <c r="B22" s="99" t="s">
        <v>66</v>
      </c>
      <c r="C22" s="97">
        <v>21</v>
      </c>
      <c r="D22" s="97">
        <v>2102004006</v>
      </c>
      <c r="E22" s="97" t="s">
        <v>385</v>
      </c>
      <c r="F22" s="98" t="s">
        <v>88</v>
      </c>
      <c r="G22" s="97"/>
      <c r="H22" s="96">
        <v>444769</v>
      </c>
      <c r="I22" s="96">
        <v>94812</v>
      </c>
      <c r="J22" s="96">
        <v>349957</v>
      </c>
      <c r="K22" s="96">
        <v>94812</v>
      </c>
      <c r="L22" s="96">
        <v>0</v>
      </c>
      <c r="M22" s="96"/>
      <c r="N22" s="96">
        <v>100000</v>
      </c>
      <c r="O22" s="96">
        <v>100000</v>
      </c>
      <c r="P22" s="96">
        <v>100000</v>
      </c>
      <c r="Q22" s="96">
        <v>49957</v>
      </c>
      <c r="R22" s="96"/>
      <c r="S22" s="57">
        <f t="shared" si="2"/>
        <v>444769</v>
      </c>
      <c r="T22" s="94">
        <f>H22-S22</f>
        <v>0</v>
      </c>
      <c r="U22" s="94"/>
    </row>
    <row r="23" spans="1:22" s="54" customFormat="1" ht="12.75" hidden="1" customHeight="1" x14ac:dyDescent="0.2">
      <c r="A23" s="60">
        <v>1</v>
      </c>
      <c r="B23" s="60" t="s">
        <v>66</v>
      </c>
      <c r="C23" s="59">
        <v>22</v>
      </c>
      <c r="D23" s="59">
        <v>22</v>
      </c>
      <c r="E23" s="59" t="s">
        <v>385</v>
      </c>
      <c r="F23" s="71" t="s">
        <v>81</v>
      </c>
      <c r="G23" s="59" t="s">
        <v>86</v>
      </c>
      <c r="H23" s="58">
        <v>158208000</v>
      </c>
      <c r="I23" s="58">
        <f>SUM(I26+I31+I33+I35)</f>
        <v>38683833</v>
      </c>
      <c r="J23" s="58">
        <f>H23-I23</f>
        <v>119524167</v>
      </c>
      <c r="K23" s="58">
        <f>SUM(K26+K31+K33+K35)</f>
        <v>10853299</v>
      </c>
      <c r="L23" s="58">
        <f>SUM(L26+L31+L33+L35)</f>
        <v>27830534</v>
      </c>
      <c r="M23" s="58">
        <f t="shared" ref="M23:R23" si="9">M24+M26+M31+M33+M35</f>
        <v>3000000</v>
      </c>
      <c r="N23" s="58">
        <f t="shared" si="9"/>
        <v>4041666.6</v>
      </c>
      <c r="O23" s="58">
        <f t="shared" si="9"/>
        <v>96941666.599999994</v>
      </c>
      <c r="P23" s="58">
        <f t="shared" si="9"/>
        <v>9041666.5999999996</v>
      </c>
      <c r="Q23" s="58">
        <f t="shared" si="9"/>
        <v>9938533.5999999996</v>
      </c>
      <c r="R23" s="58">
        <f t="shared" si="9"/>
        <v>24391167.600000001</v>
      </c>
      <c r="S23" s="57">
        <f t="shared" si="2"/>
        <v>158207999.99999997</v>
      </c>
      <c r="T23" s="57">
        <f>H23-S23</f>
        <v>0</v>
      </c>
      <c r="U23" s="57"/>
    </row>
    <row r="24" spans="1:22" ht="12.75" hidden="1" customHeight="1" x14ac:dyDescent="0.2">
      <c r="A24" s="99">
        <v>1</v>
      </c>
      <c r="B24" s="99" t="s">
        <v>66</v>
      </c>
      <c r="C24" s="97">
        <v>22</v>
      </c>
      <c r="D24" s="97">
        <v>2207001000</v>
      </c>
      <c r="E24" s="97" t="s">
        <v>385</v>
      </c>
      <c r="F24" s="97" t="s">
        <v>393</v>
      </c>
      <c r="G24" s="97"/>
      <c r="H24" s="96">
        <v>80900000</v>
      </c>
      <c r="I24" s="96">
        <v>0</v>
      </c>
      <c r="J24" s="96">
        <v>80900000</v>
      </c>
      <c r="K24" s="96">
        <v>0</v>
      </c>
      <c r="L24" s="96">
        <v>0</v>
      </c>
      <c r="M24" s="96">
        <f>SUM(M25:M25)</f>
        <v>0</v>
      </c>
      <c r="N24" s="96">
        <f>SUM(N25:N25)</f>
        <v>0</v>
      </c>
      <c r="O24" s="96">
        <f>O25</f>
        <v>80900000</v>
      </c>
      <c r="P24" s="96">
        <f>SUM(P25:P25)</f>
        <v>0</v>
      </c>
      <c r="Q24" s="96">
        <f>SUM(Q25:Q25)</f>
        <v>0</v>
      </c>
      <c r="R24" s="96">
        <f>SUM(R25:R25)</f>
        <v>0</v>
      </c>
      <c r="S24" s="57">
        <f t="shared" si="2"/>
        <v>80900000</v>
      </c>
      <c r="T24" s="94">
        <f>H24-S24</f>
        <v>0</v>
      </c>
      <c r="U24" s="94"/>
    </row>
    <row r="25" spans="1:22" customFormat="1" ht="15" hidden="1" customHeight="1" x14ac:dyDescent="0.25">
      <c r="A25" s="67">
        <v>1</v>
      </c>
      <c r="B25" s="67" t="s">
        <v>70</v>
      </c>
      <c r="C25" s="66">
        <v>22</v>
      </c>
      <c r="D25" s="66">
        <v>2207001000</v>
      </c>
      <c r="E25" s="66" t="s">
        <v>385</v>
      </c>
      <c r="F25" s="65" t="s">
        <v>393</v>
      </c>
      <c r="G25" s="65" t="s">
        <v>67</v>
      </c>
      <c r="H25" s="64"/>
      <c r="I25" s="63"/>
      <c r="J25" s="64"/>
      <c r="K25" s="63"/>
      <c r="L25" s="63">
        <f>I25-K25</f>
        <v>0</v>
      </c>
      <c r="M25" s="62"/>
      <c r="N25" s="62"/>
      <c r="O25" s="68">
        <v>80900000</v>
      </c>
      <c r="P25" s="62"/>
      <c r="Q25" s="62"/>
      <c r="R25" s="62"/>
      <c r="S25" s="61">
        <f t="shared" si="2"/>
        <v>80900000</v>
      </c>
      <c r="T25" s="61">
        <f>I25-S25</f>
        <v>-80900000</v>
      </c>
      <c r="U25" s="61"/>
    </row>
    <row r="26" spans="1:22" ht="12.75" hidden="1" customHeight="1" x14ac:dyDescent="0.2">
      <c r="A26" s="99">
        <v>1</v>
      </c>
      <c r="B26" s="99" t="s">
        <v>66</v>
      </c>
      <c r="C26" s="97">
        <v>22</v>
      </c>
      <c r="D26" s="97">
        <v>2207002006</v>
      </c>
      <c r="E26" s="97" t="s">
        <v>385</v>
      </c>
      <c r="F26" s="98" t="s">
        <v>388</v>
      </c>
      <c r="G26" s="97"/>
      <c r="H26" s="96">
        <v>40408000</v>
      </c>
      <c r="I26" s="96">
        <f>SUM(I27:I30)</f>
        <v>8783833</v>
      </c>
      <c r="J26" s="96">
        <f>H26-I26</f>
        <v>31624167</v>
      </c>
      <c r="K26" s="96">
        <f t="shared" ref="K26:R26" si="10">SUM(K27:K30)</f>
        <v>5953299</v>
      </c>
      <c r="L26" s="96">
        <f t="shared" si="10"/>
        <v>2830534</v>
      </c>
      <c r="M26" s="96">
        <f t="shared" si="10"/>
        <v>3000000</v>
      </c>
      <c r="N26" s="96">
        <f t="shared" si="10"/>
        <v>3000000</v>
      </c>
      <c r="O26" s="96">
        <f t="shared" si="10"/>
        <v>8000000</v>
      </c>
      <c r="P26" s="96">
        <f t="shared" si="10"/>
        <v>8000000</v>
      </c>
      <c r="Q26" s="96">
        <f t="shared" si="10"/>
        <v>8896867</v>
      </c>
      <c r="R26" s="96">
        <f t="shared" si="10"/>
        <v>3557834</v>
      </c>
      <c r="S26" s="57">
        <f t="shared" si="2"/>
        <v>40408000</v>
      </c>
      <c r="T26" s="94">
        <f>H26-S26</f>
        <v>0</v>
      </c>
      <c r="U26" s="94"/>
    </row>
    <row r="27" spans="1:22" customFormat="1" ht="15" hidden="1" customHeight="1" x14ac:dyDescent="0.25">
      <c r="A27" s="67">
        <v>1</v>
      </c>
      <c r="B27" s="67" t="s">
        <v>70</v>
      </c>
      <c r="C27" s="66">
        <v>22</v>
      </c>
      <c r="D27" s="66">
        <v>2207002006</v>
      </c>
      <c r="E27" s="66" t="s">
        <v>385</v>
      </c>
      <c r="F27" s="65" t="s">
        <v>388</v>
      </c>
      <c r="G27" s="65" t="s">
        <v>266</v>
      </c>
      <c r="H27" s="64"/>
      <c r="I27" s="63">
        <v>5912065</v>
      </c>
      <c r="J27" s="64"/>
      <c r="K27" s="63">
        <v>5912065</v>
      </c>
      <c r="L27" s="63">
        <f t="shared" ref="L27:L32" si="11">I27-K27</f>
        <v>0</v>
      </c>
      <c r="M27" s="62"/>
      <c r="N27" s="62"/>
      <c r="O27" s="62"/>
      <c r="P27" s="62"/>
      <c r="Q27" s="62"/>
      <c r="R27" s="62"/>
      <c r="S27" s="61">
        <f t="shared" si="2"/>
        <v>5912065</v>
      </c>
      <c r="T27" s="61">
        <f>I27-S27</f>
        <v>0</v>
      </c>
      <c r="U27" s="61" t="s">
        <v>73</v>
      </c>
    </row>
    <row r="28" spans="1:22" customFormat="1" ht="15" hidden="1" customHeight="1" x14ac:dyDescent="0.25">
      <c r="A28" s="67">
        <v>1</v>
      </c>
      <c r="B28" s="67" t="s">
        <v>70</v>
      </c>
      <c r="C28" s="66">
        <v>22</v>
      </c>
      <c r="D28" s="66">
        <v>2207002006</v>
      </c>
      <c r="E28" s="66" t="s">
        <v>385</v>
      </c>
      <c r="F28" s="65" t="s">
        <v>388</v>
      </c>
      <c r="G28" s="65" t="s">
        <v>392</v>
      </c>
      <c r="H28" s="64"/>
      <c r="I28" s="63">
        <v>206168</v>
      </c>
      <c r="J28" s="64"/>
      <c r="K28" s="63">
        <v>41234</v>
      </c>
      <c r="L28" s="63">
        <f t="shared" si="11"/>
        <v>164934</v>
      </c>
      <c r="M28" s="81"/>
      <c r="N28" s="62"/>
      <c r="O28" s="62"/>
      <c r="P28" s="62"/>
      <c r="Q28" s="62"/>
      <c r="R28" s="62">
        <v>164934</v>
      </c>
      <c r="S28" s="61">
        <f t="shared" si="2"/>
        <v>206168</v>
      </c>
      <c r="T28" s="61">
        <f>I28-S28</f>
        <v>0</v>
      </c>
      <c r="U28" s="61" t="s">
        <v>391</v>
      </c>
    </row>
    <row r="29" spans="1:22" customFormat="1" ht="33.75" hidden="1" customHeight="1" x14ac:dyDescent="0.25">
      <c r="A29" s="67">
        <v>1</v>
      </c>
      <c r="B29" s="67" t="s">
        <v>70</v>
      </c>
      <c r="C29" s="66">
        <v>22</v>
      </c>
      <c r="D29" s="66">
        <v>2207002006</v>
      </c>
      <c r="E29" s="66" t="s">
        <v>385</v>
      </c>
      <c r="F29" s="65" t="s">
        <v>388</v>
      </c>
      <c r="G29" s="65" t="s">
        <v>390</v>
      </c>
      <c r="H29" s="64"/>
      <c r="I29" s="63">
        <v>2665600</v>
      </c>
      <c r="J29" s="64"/>
      <c r="K29" s="63"/>
      <c r="L29" s="63">
        <f t="shared" si="11"/>
        <v>2665600</v>
      </c>
      <c r="M29" s="81"/>
      <c r="N29" s="62"/>
      <c r="O29" s="62"/>
      <c r="P29" s="62"/>
      <c r="Q29" s="62">
        <v>2665600</v>
      </c>
      <c r="R29" s="62"/>
      <c r="S29" s="61">
        <f t="shared" si="2"/>
        <v>2665600</v>
      </c>
      <c r="T29" s="61">
        <f>I29-S29</f>
        <v>0</v>
      </c>
      <c r="U29" s="101" t="s">
        <v>389</v>
      </c>
    </row>
    <row r="30" spans="1:22" customFormat="1" ht="15" hidden="1" customHeight="1" x14ac:dyDescent="0.25">
      <c r="A30" s="67">
        <v>1</v>
      </c>
      <c r="B30" s="67" t="s">
        <v>70</v>
      </c>
      <c r="C30" s="66">
        <v>22</v>
      </c>
      <c r="D30" s="66">
        <v>2207002006</v>
      </c>
      <c r="E30" s="66" t="s">
        <v>385</v>
      </c>
      <c r="F30" s="65" t="s">
        <v>388</v>
      </c>
      <c r="G30" s="65" t="s">
        <v>67</v>
      </c>
      <c r="H30" s="64"/>
      <c r="I30" s="63"/>
      <c r="J30" s="64"/>
      <c r="K30" s="63"/>
      <c r="L30" s="63">
        <f t="shared" si="11"/>
        <v>0</v>
      </c>
      <c r="M30" s="81">
        <v>3000000</v>
      </c>
      <c r="N30" s="81">
        <v>3000000</v>
      </c>
      <c r="O30" s="81">
        <v>8000000</v>
      </c>
      <c r="P30" s="81">
        <v>8000000</v>
      </c>
      <c r="Q30" s="62">
        <v>6231267</v>
      </c>
      <c r="R30" s="62">
        <v>3392900</v>
      </c>
      <c r="S30" s="61">
        <f t="shared" si="2"/>
        <v>31624167</v>
      </c>
      <c r="T30" s="61">
        <f>I30-S30</f>
        <v>-31624167</v>
      </c>
      <c r="U30" s="61"/>
    </row>
    <row r="31" spans="1:22" ht="12.75" hidden="1" customHeight="1" x14ac:dyDescent="0.2">
      <c r="A31" s="99">
        <v>1</v>
      </c>
      <c r="B31" s="99" t="s">
        <v>66</v>
      </c>
      <c r="C31" s="97">
        <v>22</v>
      </c>
      <c r="D31" s="97">
        <v>2208999000</v>
      </c>
      <c r="E31" s="97" t="s">
        <v>385</v>
      </c>
      <c r="F31" s="98" t="s">
        <v>36</v>
      </c>
      <c r="G31" s="97"/>
      <c r="H31" s="96">
        <v>7000000</v>
      </c>
      <c r="I31" s="96">
        <v>0</v>
      </c>
      <c r="J31" s="96">
        <v>7000000</v>
      </c>
      <c r="K31" s="96">
        <v>0</v>
      </c>
      <c r="L31" s="96">
        <f t="shared" si="11"/>
        <v>0</v>
      </c>
      <c r="M31" s="96">
        <f t="shared" ref="M31:R31" si="12">SUM(M32:M32)</f>
        <v>0</v>
      </c>
      <c r="N31" s="96">
        <f t="shared" si="12"/>
        <v>0</v>
      </c>
      <c r="O31" s="96">
        <f t="shared" si="12"/>
        <v>7000000</v>
      </c>
      <c r="P31" s="96">
        <f t="shared" si="12"/>
        <v>0</v>
      </c>
      <c r="Q31" s="96">
        <f t="shared" si="12"/>
        <v>0</v>
      </c>
      <c r="R31" s="96">
        <f t="shared" si="12"/>
        <v>0</v>
      </c>
      <c r="S31" s="57">
        <f t="shared" si="2"/>
        <v>7000000</v>
      </c>
      <c r="T31" s="94">
        <f>H31-S31</f>
        <v>0</v>
      </c>
      <c r="U31" s="94"/>
    </row>
    <row r="32" spans="1:22" customFormat="1" ht="15" hidden="1" customHeight="1" x14ac:dyDescent="0.25">
      <c r="A32" s="67">
        <v>1</v>
      </c>
      <c r="B32" s="67" t="s">
        <v>70</v>
      </c>
      <c r="C32" s="66">
        <v>22</v>
      </c>
      <c r="D32" s="66">
        <v>2208999000</v>
      </c>
      <c r="E32" s="66" t="s">
        <v>385</v>
      </c>
      <c r="F32" s="65" t="s">
        <v>36</v>
      </c>
      <c r="G32" s="65" t="s">
        <v>67</v>
      </c>
      <c r="H32" s="64"/>
      <c r="I32" s="63"/>
      <c r="J32" s="64"/>
      <c r="K32" s="63"/>
      <c r="L32" s="63">
        <f t="shared" si="11"/>
        <v>0</v>
      </c>
      <c r="M32" s="62"/>
      <c r="N32" s="62"/>
      <c r="O32" s="68">
        <v>7000000</v>
      </c>
      <c r="P32" s="62"/>
      <c r="Q32" s="62"/>
      <c r="R32" s="62"/>
      <c r="S32" s="61">
        <f t="shared" si="2"/>
        <v>7000000</v>
      </c>
      <c r="T32" s="61">
        <f>I32-S32</f>
        <v>-7000000</v>
      </c>
      <c r="U32" s="61"/>
    </row>
    <row r="33" spans="1:21" ht="25.5" hidden="1" customHeight="1" x14ac:dyDescent="0.2">
      <c r="A33" s="99">
        <v>1</v>
      </c>
      <c r="B33" s="99" t="s">
        <v>66</v>
      </c>
      <c r="C33" s="97">
        <v>22</v>
      </c>
      <c r="D33" s="97">
        <v>2208010000</v>
      </c>
      <c r="E33" s="97" t="s">
        <v>385</v>
      </c>
      <c r="F33" s="98" t="s">
        <v>326</v>
      </c>
      <c r="G33" s="97"/>
      <c r="H33" s="107">
        <v>25000000</v>
      </c>
      <c r="I33" s="96">
        <f>I34</f>
        <v>25000000</v>
      </c>
      <c r="J33" s="96">
        <f>H33-I33</f>
        <v>0</v>
      </c>
      <c r="K33" s="96">
        <f t="shared" ref="K33:R33" si="13">K34</f>
        <v>0</v>
      </c>
      <c r="L33" s="96">
        <f t="shared" si="13"/>
        <v>25000000</v>
      </c>
      <c r="M33" s="96">
        <f t="shared" si="13"/>
        <v>0</v>
      </c>
      <c r="N33" s="96">
        <f t="shared" si="13"/>
        <v>1041666.6</v>
      </c>
      <c r="O33" s="96">
        <f t="shared" si="13"/>
        <v>1041666.6</v>
      </c>
      <c r="P33" s="96">
        <f t="shared" si="13"/>
        <v>1041666.6</v>
      </c>
      <c r="Q33" s="96">
        <f t="shared" si="13"/>
        <v>1041666.6</v>
      </c>
      <c r="R33" s="96">
        <f t="shared" si="13"/>
        <v>20833333.600000001</v>
      </c>
      <c r="S33" s="57">
        <f t="shared" si="2"/>
        <v>25000000.000000007</v>
      </c>
      <c r="T33" s="94">
        <f>H33-S33</f>
        <v>0</v>
      </c>
      <c r="U33" s="94"/>
    </row>
    <row r="34" spans="1:21" customFormat="1" ht="33.75" hidden="1" customHeight="1" x14ac:dyDescent="0.25">
      <c r="A34" s="67">
        <v>1</v>
      </c>
      <c r="B34" s="67" t="s">
        <v>70</v>
      </c>
      <c r="C34" s="66">
        <v>22</v>
      </c>
      <c r="D34" s="66">
        <v>2208010000</v>
      </c>
      <c r="E34" s="66" t="s">
        <v>385</v>
      </c>
      <c r="F34" s="65" t="s">
        <v>326</v>
      </c>
      <c r="G34" s="65" t="s">
        <v>387</v>
      </c>
      <c r="H34" s="63">
        <v>25000000</v>
      </c>
      <c r="I34" s="63">
        <v>25000000</v>
      </c>
      <c r="J34" s="64"/>
      <c r="K34" s="63"/>
      <c r="L34" s="63">
        <f>I34-K34</f>
        <v>25000000</v>
      </c>
      <c r="M34" s="62"/>
      <c r="N34" s="62">
        <v>1041666.6</v>
      </c>
      <c r="O34" s="62">
        <v>1041666.6</v>
      </c>
      <c r="P34" s="62">
        <v>1041666.6</v>
      </c>
      <c r="Q34" s="62">
        <v>1041666.6</v>
      </c>
      <c r="R34" s="62">
        <f>1041666.6+19791667</f>
        <v>20833333.600000001</v>
      </c>
      <c r="S34" s="61">
        <f t="shared" si="2"/>
        <v>25000000.000000007</v>
      </c>
      <c r="T34" s="61">
        <f>I34-S34</f>
        <v>0</v>
      </c>
      <c r="U34" s="108" t="s">
        <v>386</v>
      </c>
    </row>
    <row r="35" spans="1:21" ht="25.5" hidden="1" customHeight="1" x14ac:dyDescent="0.2">
      <c r="A35" s="99">
        <v>1</v>
      </c>
      <c r="B35" s="99" t="s">
        <v>66</v>
      </c>
      <c r="C35" s="97">
        <v>22</v>
      </c>
      <c r="D35" s="97">
        <v>2211999015</v>
      </c>
      <c r="E35" s="97" t="s">
        <v>385</v>
      </c>
      <c r="F35" s="98" t="s">
        <v>369</v>
      </c>
      <c r="G35" s="97"/>
      <c r="H35" s="96">
        <v>4900000</v>
      </c>
      <c r="I35" s="96">
        <f>SUM(I36)</f>
        <v>4900000</v>
      </c>
      <c r="J35" s="96">
        <f>H35-I35</f>
        <v>0</v>
      </c>
      <c r="K35" s="96">
        <f>SUM(K36)</f>
        <v>4900000</v>
      </c>
      <c r="L35" s="96">
        <f t="shared" ref="L35:R35" si="14">L36</f>
        <v>0</v>
      </c>
      <c r="M35" s="96">
        <f t="shared" si="14"/>
        <v>0</v>
      </c>
      <c r="N35" s="96">
        <f t="shared" si="14"/>
        <v>0</v>
      </c>
      <c r="O35" s="96">
        <f t="shared" si="14"/>
        <v>0</v>
      </c>
      <c r="P35" s="96">
        <f t="shared" si="14"/>
        <v>0</v>
      </c>
      <c r="Q35" s="96">
        <f t="shared" si="14"/>
        <v>0</v>
      </c>
      <c r="R35" s="96">
        <f t="shared" si="14"/>
        <v>0</v>
      </c>
      <c r="S35" s="57">
        <f t="shared" ref="S35:S60" si="15">SUM(K35:R35)-L35</f>
        <v>4900000</v>
      </c>
      <c r="T35" s="94">
        <f>H35-S35</f>
        <v>0</v>
      </c>
      <c r="U35" s="94"/>
    </row>
    <row r="36" spans="1:21" customFormat="1" ht="45" hidden="1" customHeight="1" x14ac:dyDescent="0.25">
      <c r="A36" s="67">
        <v>1</v>
      </c>
      <c r="B36" s="67" t="s">
        <v>70</v>
      </c>
      <c r="C36" s="66">
        <v>22</v>
      </c>
      <c r="D36" s="66">
        <v>2211999015</v>
      </c>
      <c r="E36" s="66" t="s">
        <v>385</v>
      </c>
      <c r="F36" s="65" t="s">
        <v>369</v>
      </c>
      <c r="G36" s="65" t="s">
        <v>384</v>
      </c>
      <c r="H36" s="107"/>
      <c r="I36" s="63">
        <v>4900000</v>
      </c>
      <c r="J36" s="64"/>
      <c r="K36" s="63">
        <v>4900000</v>
      </c>
      <c r="L36" s="63">
        <f>I36-K36</f>
        <v>0</v>
      </c>
      <c r="M36" s="62"/>
      <c r="N36" s="62"/>
      <c r="O36" s="62"/>
      <c r="P36" s="62"/>
      <c r="Q36" s="62"/>
      <c r="R36" s="62"/>
      <c r="S36" s="61">
        <f t="shared" si="15"/>
        <v>4900000</v>
      </c>
      <c r="T36" s="61">
        <f>I36-S36</f>
        <v>0</v>
      </c>
      <c r="U36" s="61" t="s">
        <v>73</v>
      </c>
    </row>
    <row r="37" spans="1:21" s="54" customFormat="1" ht="12.75" hidden="1" customHeight="1" x14ac:dyDescent="0.2">
      <c r="A37" s="60">
        <v>1</v>
      </c>
      <c r="B37" s="60" t="s">
        <v>66</v>
      </c>
      <c r="C37" s="59">
        <v>21</v>
      </c>
      <c r="D37" s="59">
        <v>21</v>
      </c>
      <c r="E37" s="59" t="s">
        <v>383</v>
      </c>
      <c r="F37" s="59" t="s">
        <v>241</v>
      </c>
      <c r="G37" s="59" t="s">
        <v>241</v>
      </c>
      <c r="H37" s="58">
        <f t="shared" ref="H37:R37" si="16">H38</f>
        <v>2818982</v>
      </c>
      <c r="I37" s="58">
        <f t="shared" si="16"/>
        <v>1795123</v>
      </c>
      <c r="J37" s="58">
        <f t="shared" si="16"/>
        <v>1023859</v>
      </c>
      <c r="K37" s="58">
        <f t="shared" si="16"/>
        <v>1795123</v>
      </c>
      <c r="L37" s="58">
        <f t="shared" si="16"/>
        <v>0</v>
      </c>
      <c r="M37" s="58">
        <f t="shared" si="16"/>
        <v>170643</v>
      </c>
      <c r="N37" s="58">
        <f t="shared" si="16"/>
        <v>170643</v>
      </c>
      <c r="O37" s="58">
        <f t="shared" si="16"/>
        <v>170643</v>
      </c>
      <c r="P37" s="58">
        <f t="shared" si="16"/>
        <v>170643</v>
      </c>
      <c r="Q37" s="58">
        <f t="shared" si="16"/>
        <v>170643</v>
      </c>
      <c r="R37" s="58">
        <f t="shared" si="16"/>
        <v>170644</v>
      </c>
      <c r="S37" s="57">
        <f t="shared" si="15"/>
        <v>2818982</v>
      </c>
      <c r="T37" s="57">
        <f t="shared" ref="T37:T70" si="17">H37-S37</f>
        <v>0</v>
      </c>
      <c r="U37" s="57"/>
    </row>
    <row r="38" spans="1:21" ht="12.75" hidden="1" customHeight="1" x14ac:dyDescent="0.2">
      <c r="A38" s="99">
        <v>1</v>
      </c>
      <c r="B38" s="99" t="s">
        <v>66</v>
      </c>
      <c r="C38" s="97">
        <v>21</v>
      </c>
      <c r="D38" s="97">
        <v>2102004006</v>
      </c>
      <c r="E38" s="97" t="s">
        <v>383</v>
      </c>
      <c r="F38" s="98" t="s">
        <v>88</v>
      </c>
      <c r="G38" s="97"/>
      <c r="H38" s="96">
        <v>2818982</v>
      </c>
      <c r="I38" s="96">
        <v>1795123</v>
      </c>
      <c r="J38" s="96">
        <v>1023859</v>
      </c>
      <c r="K38" s="96">
        <v>1795123</v>
      </c>
      <c r="L38" s="96">
        <v>0</v>
      </c>
      <c r="M38" s="95">
        <v>170643</v>
      </c>
      <c r="N38" s="95">
        <v>170643</v>
      </c>
      <c r="O38" s="95">
        <v>170643</v>
      </c>
      <c r="P38" s="95">
        <v>170643</v>
      </c>
      <c r="Q38" s="95">
        <v>170643</v>
      </c>
      <c r="R38" s="95">
        <v>170644</v>
      </c>
      <c r="S38" s="94">
        <f t="shared" si="15"/>
        <v>2818982</v>
      </c>
      <c r="T38" s="94">
        <f t="shared" si="17"/>
        <v>0</v>
      </c>
      <c r="U38" s="94"/>
    </row>
    <row r="39" spans="1:21" s="54" customFormat="1" ht="12.75" hidden="1" customHeight="1" x14ac:dyDescent="0.2">
      <c r="A39" s="60">
        <v>1</v>
      </c>
      <c r="B39" s="60" t="s">
        <v>66</v>
      </c>
      <c r="C39" s="59">
        <v>21</v>
      </c>
      <c r="D39" s="59">
        <v>21</v>
      </c>
      <c r="E39" s="59" t="s">
        <v>216</v>
      </c>
      <c r="F39" s="59" t="s">
        <v>241</v>
      </c>
      <c r="G39" s="59" t="s">
        <v>241</v>
      </c>
      <c r="H39" s="58">
        <f t="shared" ref="H39:R39" si="18">H40</f>
        <v>671625</v>
      </c>
      <c r="I39" s="58">
        <f t="shared" si="18"/>
        <v>188690</v>
      </c>
      <c r="J39" s="58">
        <f t="shared" si="18"/>
        <v>482935</v>
      </c>
      <c r="K39" s="58">
        <f t="shared" si="18"/>
        <v>188690</v>
      </c>
      <c r="L39" s="58">
        <f t="shared" si="18"/>
        <v>0</v>
      </c>
      <c r="M39" s="58">
        <f t="shared" si="18"/>
        <v>0</v>
      </c>
      <c r="N39" s="58">
        <f t="shared" si="18"/>
        <v>80489</v>
      </c>
      <c r="O39" s="58">
        <f t="shared" si="18"/>
        <v>80489</v>
      </c>
      <c r="P39" s="58">
        <f t="shared" si="18"/>
        <v>80489</v>
      </c>
      <c r="Q39" s="58">
        <f t="shared" si="18"/>
        <v>80489</v>
      </c>
      <c r="R39" s="58">
        <f t="shared" si="18"/>
        <v>160979</v>
      </c>
      <c r="S39" s="57">
        <f t="shared" si="15"/>
        <v>671625</v>
      </c>
      <c r="T39" s="57">
        <f t="shared" si="17"/>
        <v>0</v>
      </c>
      <c r="U39" s="57"/>
    </row>
    <row r="40" spans="1:21" ht="12.75" hidden="1" customHeight="1" x14ac:dyDescent="0.2">
      <c r="A40" s="99">
        <v>1</v>
      </c>
      <c r="B40" s="99" t="s">
        <v>66</v>
      </c>
      <c r="C40" s="97">
        <v>21</v>
      </c>
      <c r="D40" s="97">
        <v>2102004006</v>
      </c>
      <c r="E40" s="97" t="s">
        <v>216</v>
      </c>
      <c r="F40" s="98" t="s">
        <v>88</v>
      </c>
      <c r="G40" s="97"/>
      <c r="H40" s="96">
        <v>671625</v>
      </c>
      <c r="I40" s="96">
        <v>188690</v>
      </c>
      <c r="J40" s="96">
        <v>482935</v>
      </c>
      <c r="K40" s="96">
        <v>188690</v>
      </c>
      <c r="L40" s="96">
        <v>0</v>
      </c>
      <c r="M40" s="95"/>
      <c r="N40" s="95">
        <v>80489</v>
      </c>
      <c r="O40" s="95">
        <v>80489</v>
      </c>
      <c r="P40" s="95">
        <v>80489</v>
      </c>
      <c r="Q40" s="95">
        <v>80489</v>
      </c>
      <c r="R40" s="95">
        <v>160979</v>
      </c>
      <c r="S40" s="94">
        <f t="shared" si="15"/>
        <v>671625</v>
      </c>
      <c r="T40" s="94">
        <f t="shared" si="17"/>
        <v>0</v>
      </c>
      <c r="U40" s="94"/>
    </row>
    <row r="41" spans="1:21" s="54" customFormat="1" ht="12.75" hidden="1" customHeight="1" x14ac:dyDescent="0.2">
      <c r="A41" s="60">
        <v>1</v>
      </c>
      <c r="B41" s="60" t="s">
        <v>66</v>
      </c>
      <c r="C41" s="59">
        <v>21</v>
      </c>
      <c r="D41" s="59">
        <v>21</v>
      </c>
      <c r="E41" s="59" t="s">
        <v>382</v>
      </c>
      <c r="F41" s="59" t="s">
        <v>241</v>
      </c>
      <c r="G41" s="59" t="s">
        <v>241</v>
      </c>
      <c r="H41" s="58">
        <f>H42+H43</f>
        <v>2528100</v>
      </c>
      <c r="I41" s="58">
        <f>I42+I43</f>
        <v>1872548</v>
      </c>
      <c r="J41" s="58">
        <f>J42+J43</f>
        <v>655552</v>
      </c>
      <c r="K41" s="58">
        <f>K42+K43</f>
        <v>1872548</v>
      </c>
      <c r="L41" s="58">
        <f>L42+L43</f>
        <v>0</v>
      </c>
      <c r="M41" s="58">
        <f t="shared" ref="M41:R41" si="19">SUM(M42:M43)</f>
        <v>0</v>
      </c>
      <c r="N41" s="58">
        <f t="shared" si="19"/>
        <v>269382</v>
      </c>
      <c r="O41" s="58">
        <f t="shared" si="19"/>
        <v>100000</v>
      </c>
      <c r="P41" s="58">
        <f t="shared" si="19"/>
        <v>220000</v>
      </c>
      <c r="Q41" s="58">
        <f t="shared" si="19"/>
        <v>66170</v>
      </c>
      <c r="R41" s="58">
        <f t="shared" si="19"/>
        <v>0</v>
      </c>
      <c r="S41" s="57">
        <f t="shared" si="15"/>
        <v>2528100</v>
      </c>
      <c r="T41" s="57">
        <f t="shared" si="17"/>
        <v>0</v>
      </c>
      <c r="U41" s="57"/>
    </row>
    <row r="42" spans="1:21" ht="12.75" hidden="1" customHeight="1" x14ac:dyDescent="0.2">
      <c r="A42" s="99">
        <v>1</v>
      </c>
      <c r="B42" s="99" t="s">
        <v>66</v>
      </c>
      <c r="C42" s="97">
        <v>21</v>
      </c>
      <c r="D42" s="97">
        <v>2101004006</v>
      </c>
      <c r="E42" s="97" t="s">
        <v>382</v>
      </c>
      <c r="F42" s="98" t="s">
        <v>88</v>
      </c>
      <c r="G42" s="97"/>
      <c r="H42" s="96">
        <f>789382-500000</f>
        <v>289382</v>
      </c>
      <c r="I42" s="96"/>
      <c r="J42" s="96">
        <f>H42-I42</f>
        <v>289382</v>
      </c>
      <c r="K42" s="96"/>
      <c r="L42" s="96">
        <f>I42-K42</f>
        <v>0</v>
      </c>
      <c r="M42" s="95"/>
      <c r="N42" s="95">
        <v>169382</v>
      </c>
      <c r="O42" s="95"/>
      <c r="P42" s="95">
        <v>120000</v>
      </c>
      <c r="Q42" s="95"/>
      <c r="R42" s="95"/>
      <c r="S42" s="94">
        <f t="shared" si="15"/>
        <v>289382</v>
      </c>
      <c r="T42" s="94">
        <f t="shared" si="17"/>
        <v>0</v>
      </c>
      <c r="U42" s="94"/>
    </row>
    <row r="43" spans="1:21" ht="12.75" hidden="1" customHeight="1" x14ac:dyDescent="0.2">
      <c r="A43" s="99">
        <v>1</v>
      </c>
      <c r="B43" s="99" t="s">
        <v>66</v>
      </c>
      <c r="C43" s="97">
        <v>21</v>
      </c>
      <c r="D43" s="97">
        <v>2102004006</v>
      </c>
      <c r="E43" s="97" t="s">
        <v>382</v>
      </c>
      <c r="F43" s="98" t="s">
        <v>88</v>
      </c>
      <c r="G43" s="97"/>
      <c r="H43" s="96">
        <v>2238718</v>
      </c>
      <c r="I43" s="96">
        <v>1872548</v>
      </c>
      <c r="J43" s="96">
        <v>366170</v>
      </c>
      <c r="K43" s="96">
        <v>1872548</v>
      </c>
      <c r="L43" s="96">
        <v>0</v>
      </c>
      <c r="M43" s="95"/>
      <c r="N43" s="95">
        <v>100000</v>
      </c>
      <c r="O43" s="95">
        <v>100000</v>
      </c>
      <c r="P43" s="95">
        <v>100000</v>
      </c>
      <c r="Q43" s="95">
        <v>66170</v>
      </c>
      <c r="R43" s="95"/>
      <c r="S43" s="94">
        <f t="shared" si="15"/>
        <v>2238718</v>
      </c>
      <c r="T43" s="94">
        <f t="shared" si="17"/>
        <v>0</v>
      </c>
      <c r="U43" s="94"/>
    </row>
    <row r="44" spans="1:21" s="54" customFormat="1" ht="12.75" hidden="1" customHeight="1" x14ac:dyDescent="0.2">
      <c r="A44" s="60">
        <v>1</v>
      </c>
      <c r="B44" s="60" t="s">
        <v>66</v>
      </c>
      <c r="C44" s="59">
        <v>21</v>
      </c>
      <c r="D44" s="59">
        <v>21</v>
      </c>
      <c r="E44" s="59" t="s">
        <v>164</v>
      </c>
      <c r="F44" s="59" t="s">
        <v>241</v>
      </c>
      <c r="G44" s="59" t="s">
        <v>241</v>
      </c>
      <c r="H44" s="58">
        <f>H45+H46+H47</f>
        <v>2853610</v>
      </c>
      <c r="I44" s="58">
        <f>I45+I46+I47</f>
        <v>1849153</v>
      </c>
      <c r="J44" s="58">
        <f>J45+J46+J47</f>
        <v>1004457</v>
      </c>
      <c r="K44" s="58">
        <f>K45+K46+K47</f>
        <v>1849153</v>
      </c>
      <c r="L44" s="58">
        <f>L45+L46+L47</f>
        <v>0</v>
      </c>
      <c r="M44" s="58">
        <f t="shared" ref="M44:R44" si="20">SUM(M45:M47)</f>
        <v>172006.16666666669</v>
      </c>
      <c r="N44" s="58">
        <f t="shared" si="20"/>
        <v>172006.16666666669</v>
      </c>
      <c r="O44" s="58">
        <f t="shared" si="20"/>
        <v>172006.16666666669</v>
      </c>
      <c r="P44" s="58">
        <f t="shared" si="20"/>
        <v>344426.16666666669</v>
      </c>
      <c r="Q44" s="58">
        <f t="shared" si="20"/>
        <v>72006.166666666672</v>
      </c>
      <c r="R44" s="58">
        <f t="shared" si="20"/>
        <v>72006.166666666672</v>
      </c>
      <c r="S44" s="57">
        <f t="shared" si="15"/>
        <v>2853609.9999999995</v>
      </c>
      <c r="T44" s="57">
        <f t="shared" si="17"/>
        <v>0</v>
      </c>
      <c r="U44" s="57"/>
    </row>
    <row r="45" spans="1:21" ht="12.75" hidden="1" customHeight="1" x14ac:dyDescent="0.2">
      <c r="A45" s="99">
        <v>1</v>
      </c>
      <c r="B45" s="99" t="s">
        <v>66</v>
      </c>
      <c r="C45" s="97">
        <v>21</v>
      </c>
      <c r="D45" s="97">
        <v>2101004006</v>
      </c>
      <c r="E45" s="97" t="s">
        <v>164</v>
      </c>
      <c r="F45" s="98" t="s">
        <v>88</v>
      </c>
      <c r="G45" s="97"/>
      <c r="H45" s="96">
        <v>713937</v>
      </c>
      <c r="I45" s="96">
        <v>141517</v>
      </c>
      <c r="J45" s="96">
        <v>572420</v>
      </c>
      <c r="K45" s="96">
        <v>141517</v>
      </c>
      <c r="L45" s="96">
        <v>0</v>
      </c>
      <c r="M45" s="95">
        <v>100000</v>
      </c>
      <c r="N45" s="95">
        <v>100000</v>
      </c>
      <c r="O45" s="95">
        <v>100000</v>
      </c>
      <c r="P45" s="95">
        <v>272420</v>
      </c>
      <c r="Q45" s="95"/>
      <c r="R45" s="95"/>
      <c r="S45" s="94">
        <f t="shared" si="15"/>
        <v>713937</v>
      </c>
      <c r="T45" s="94">
        <f t="shared" si="17"/>
        <v>0</v>
      </c>
      <c r="U45" s="94"/>
    </row>
    <row r="46" spans="1:21" ht="12.75" hidden="1" customHeight="1" x14ac:dyDescent="0.2">
      <c r="A46" s="99">
        <v>1</v>
      </c>
      <c r="B46" s="99" t="s">
        <v>66</v>
      </c>
      <c r="C46" s="97">
        <v>21</v>
      </c>
      <c r="D46" s="97">
        <v>2102004006</v>
      </c>
      <c r="E46" s="97" t="s">
        <v>164</v>
      </c>
      <c r="F46" s="98" t="s">
        <v>88</v>
      </c>
      <c r="G46" s="97"/>
      <c r="H46" s="96">
        <v>718733</v>
      </c>
      <c r="I46" s="96">
        <v>286696</v>
      </c>
      <c r="J46" s="96">
        <v>432037</v>
      </c>
      <c r="K46" s="96">
        <v>286696</v>
      </c>
      <c r="L46" s="96">
        <v>0</v>
      </c>
      <c r="M46" s="95">
        <f>J46/6</f>
        <v>72006.166666666672</v>
      </c>
      <c r="N46" s="95">
        <v>72006.166666666672</v>
      </c>
      <c r="O46" s="95">
        <v>72006.166666666672</v>
      </c>
      <c r="P46" s="95">
        <v>72006.166666666672</v>
      </c>
      <c r="Q46" s="95">
        <v>72006.166666666672</v>
      </c>
      <c r="R46" s="95">
        <v>72006.166666666672</v>
      </c>
      <c r="S46" s="94">
        <f t="shared" si="15"/>
        <v>718733</v>
      </c>
      <c r="T46" s="94">
        <f t="shared" si="17"/>
        <v>0</v>
      </c>
      <c r="U46" s="94"/>
    </row>
    <row r="47" spans="1:21" ht="12.75" hidden="1" customHeight="1" x14ac:dyDescent="0.2">
      <c r="A47" s="99">
        <v>1</v>
      </c>
      <c r="B47" s="99" t="s">
        <v>66</v>
      </c>
      <c r="C47" s="97">
        <v>21</v>
      </c>
      <c r="D47" s="97">
        <v>2102004007</v>
      </c>
      <c r="E47" s="97" t="s">
        <v>164</v>
      </c>
      <c r="F47" s="98" t="s">
        <v>381</v>
      </c>
      <c r="G47" s="97"/>
      <c r="H47" s="96">
        <v>1420940</v>
      </c>
      <c r="I47" s="96">
        <v>1420940</v>
      </c>
      <c r="J47" s="96">
        <v>0</v>
      </c>
      <c r="K47" s="96">
        <v>1420940</v>
      </c>
      <c r="L47" s="96">
        <v>0</v>
      </c>
      <c r="M47" s="95"/>
      <c r="N47" s="95"/>
      <c r="O47" s="95"/>
      <c r="P47" s="95"/>
      <c r="Q47" s="95"/>
      <c r="R47" s="95"/>
      <c r="S47" s="94">
        <f t="shared" si="15"/>
        <v>1420940</v>
      </c>
      <c r="T47" s="94">
        <f t="shared" si="17"/>
        <v>0</v>
      </c>
      <c r="U47" s="94"/>
    </row>
    <row r="48" spans="1:21" s="54" customFormat="1" ht="12.75" hidden="1" customHeight="1" x14ac:dyDescent="0.2">
      <c r="A48" s="60">
        <v>1</v>
      </c>
      <c r="B48" s="60" t="s">
        <v>66</v>
      </c>
      <c r="C48" s="59">
        <v>21</v>
      </c>
      <c r="D48" s="59">
        <v>21</v>
      </c>
      <c r="E48" s="59" t="s">
        <v>380</v>
      </c>
      <c r="F48" s="59" t="s">
        <v>241</v>
      </c>
      <c r="G48" s="59" t="s">
        <v>241</v>
      </c>
      <c r="H48" s="58">
        <f>H49</f>
        <v>57843696</v>
      </c>
      <c r="I48" s="58">
        <f>I49</f>
        <v>57843696</v>
      </c>
      <c r="J48" s="58">
        <f>J49</f>
        <v>0</v>
      </c>
      <c r="K48" s="58">
        <f>K49</f>
        <v>28921848</v>
      </c>
      <c r="L48" s="58">
        <f>L49</f>
        <v>28921848</v>
      </c>
      <c r="M48" s="58">
        <v>4820308</v>
      </c>
      <c r="N48" s="58">
        <v>4820308</v>
      </c>
      <c r="O48" s="58">
        <v>4820308</v>
      </c>
      <c r="P48" s="58">
        <v>4820308</v>
      </c>
      <c r="Q48" s="58">
        <v>4820308</v>
      </c>
      <c r="R48" s="58">
        <v>4820308</v>
      </c>
      <c r="S48" s="57">
        <f t="shared" si="15"/>
        <v>57843696</v>
      </c>
      <c r="T48" s="57">
        <f t="shared" si="17"/>
        <v>0</v>
      </c>
      <c r="U48" s="57"/>
    </row>
    <row r="49" spans="1:21" ht="12.75" hidden="1" customHeight="1" x14ac:dyDescent="0.2">
      <c r="A49" s="99">
        <v>1</v>
      </c>
      <c r="B49" s="99" t="s">
        <v>66</v>
      </c>
      <c r="C49" s="97">
        <v>21</v>
      </c>
      <c r="D49" s="97">
        <v>2103001001</v>
      </c>
      <c r="E49" s="97" t="s">
        <v>380</v>
      </c>
      <c r="F49" s="98" t="s">
        <v>90</v>
      </c>
      <c r="G49" s="99"/>
      <c r="H49" s="96">
        <v>57843696</v>
      </c>
      <c r="I49" s="96">
        <v>57843696</v>
      </c>
      <c r="J49" s="96">
        <v>0</v>
      </c>
      <c r="K49" s="96">
        <v>28921848</v>
      </c>
      <c r="L49" s="96">
        <v>28921848</v>
      </c>
      <c r="M49" s="95">
        <v>4820308</v>
      </c>
      <c r="N49" s="95">
        <v>4820308</v>
      </c>
      <c r="O49" s="95">
        <v>4820308</v>
      </c>
      <c r="P49" s="95">
        <v>4820308</v>
      </c>
      <c r="Q49" s="95">
        <v>4820308</v>
      </c>
      <c r="R49" s="95">
        <v>4820308</v>
      </c>
      <c r="S49" s="94">
        <f t="shared" si="15"/>
        <v>57843696</v>
      </c>
      <c r="T49" s="94">
        <f t="shared" si="17"/>
        <v>0</v>
      </c>
      <c r="U49" s="94"/>
    </row>
    <row r="50" spans="1:21" s="54" customFormat="1" ht="12.75" hidden="1" customHeight="1" x14ac:dyDescent="0.2">
      <c r="A50" s="60">
        <v>1</v>
      </c>
      <c r="B50" s="60" t="s">
        <v>66</v>
      </c>
      <c r="C50" s="59">
        <v>22</v>
      </c>
      <c r="D50" s="59">
        <v>22</v>
      </c>
      <c r="E50" s="59" t="s">
        <v>380</v>
      </c>
      <c r="F50" s="71" t="s">
        <v>81</v>
      </c>
      <c r="G50" s="59" t="s">
        <v>86</v>
      </c>
      <c r="H50" s="58">
        <f>H51</f>
        <v>58000</v>
      </c>
      <c r="I50" s="58">
        <f>I51</f>
        <v>58000</v>
      </c>
      <c r="J50" s="58">
        <f>J51</f>
        <v>0</v>
      </c>
      <c r="K50" s="58">
        <f>K51</f>
        <v>58000</v>
      </c>
      <c r="L50" s="58">
        <f>I50-K50</f>
        <v>0</v>
      </c>
      <c r="M50" s="58">
        <f t="shared" ref="M50:R50" si="21">M51</f>
        <v>0</v>
      </c>
      <c r="N50" s="58">
        <f t="shared" si="21"/>
        <v>0</v>
      </c>
      <c r="O50" s="58">
        <f t="shared" si="21"/>
        <v>0</v>
      </c>
      <c r="P50" s="58">
        <f t="shared" si="21"/>
        <v>0</v>
      </c>
      <c r="Q50" s="58">
        <f t="shared" si="21"/>
        <v>0</v>
      </c>
      <c r="R50" s="58">
        <f t="shared" si="21"/>
        <v>0</v>
      </c>
      <c r="S50" s="57">
        <f t="shared" si="15"/>
        <v>58000</v>
      </c>
      <c r="T50" s="57">
        <f t="shared" si="17"/>
        <v>0</v>
      </c>
      <c r="U50" s="57"/>
    </row>
    <row r="51" spans="1:21" ht="25.5" hidden="1" customHeight="1" x14ac:dyDescent="0.2">
      <c r="A51" s="99">
        <v>1</v>
      </c>
      <c r="B51" s="99" t="s">
        <v>66</v>
      </c>
      <c r="C51" s="97">
        <v>22</v>
      </c>
      <c r="D51" s="97">
        <v>2204002002</v>
      </c>
      <c r="E51" s="97" t="s">
        <v>380</v>
      </c>
      <c r="F51" s="98" t="s">
        <v>379</v>
      </c>
      <c r="G51" s="99"/>
      <c r="H51" s="96">
        <v>58000</v>
      </c>
      <c r="I51" s="96">
        <v>58000</v>
      </c>
      <c r="J51" s="96">
        <f>H51-I51</f>
        <v>0</v>
      </c>
      <c r="K51" s="96">
        <v>58000</v>
      </c>
      <c r="L51" s="96">
        <f>I51-K51</f>
        <v>0</v>
      </c>
      <c r="M51" s="95"/>
      <c r="N51" s="95"/>
      <c r="O51" s="95"/>
      <c r="P51" s="95"/>
      <c r="Q51" s="95"/>
      <c r="R51" s="95"/>
      <c r="S51" s="94">
        <f t="shared" si="15"/>
        <v>58000</v>
      </c>
      <c r="T51" s="94">
        <f t="shared" si="17"/>
        <v>0</v>
      </c>
      <c r="U51" s="94" t="s">
        <v>73</v>
      </c>
    </row>
    <row r="52" spans="1:21" s="54" customFormat="1" ht="12.75" hidden="1" customHeight="1" x14ac:dyDescent="0.2">
      <c r="A52" s="60">
        <v>1</v>
      </c>
      <c r="B52" s="60" t="s">
        <v>66</v>
      </c>
      <c r="C52" s="59">
        <v>21</v>
      </c>
      <c r="D52" s="59">
        <v>21</v>
      </c>
      <c r="E52" s="59" t="s">
        <v>378</v>
      </c>
      <c r="F52" s="59" t="s">
        <v>241</v>
      </c>
      <c r="G52" s="59" t="s">
        <v>241</v>
      </c>
      <c r="H52" s="58">
        <f t="shared" ref="H52:R52" si="22">H53+H54</f>
        <v>21982996</v>
      </c>
      <c r="I52" s="58">
        <f t="shared" si="22"/>
        <v>21539544</v>
      </c>
      <c r="J52" s="58">
        <f t="shared" si="22"/>
        <v>443452</v>
      </c>
      <c r="K52" s="58">
        <f t="shared" si="22"/>
        <v>10769772</v>
      </c>
      <c r="L52" s="58">
        <f t="shared" si="22"/>
        <v>10769772</v>
      </c>
      <c r="M52" s="58">
        <f t="shared" si="22"/>
        <v>1794962</v>
      </c>
      <c r="N52" s="58">
        <f t="shared" si="22"/>
        <v>1794962</v>
      </c>
      <c r="O52" s="58">
        <f t="shared" si="22"/>
        <v>1883652</v>
      </c>
      <c r="P52" s="58">
        <f t="shared" si="22"/>
        <v>1883652</v>
      </c>
      <c r="Q52" s="58">
        <f t="shared" si="22"/>
        <v>1883652</v>
      </c>
      <c r="R52" s="58">
        <f t="shared" si="22"/>
        <v>1972344</v>
      </c>
      <c r="S52" s="57">
        <f t="shared" si="15"/>
        <v>21982996</v>
      </c>
      <c r="T52" s="57">
        <f t="shared" si="17"/>
        <v>0</v>
      </c>
      <c r="U52" s="57"/>
    </row>
    <row r="53" spans="1:21" ht="12.75" hidden="1" customHeight="1" x14ac:dyDescent="0.2">
      <c r="A53" s="99">
        <v>1</v>
      </c>
      <c r="B53" s="99" t="s">
        <v>66</v>
      </c>
      <c r="C53" s="97">
        <v>21</v>
      </c>
      <c r="D53" s="97">
        <v>2103001001</v>
      </c>
      <c r="E53" s="97" t="s">
        <v>378</v>
      </c>
      <c r="F53" s="98" t="s">
        <v>90</v>
      </c>
      <c r="G53" s="97"/>
      <c r="H53" s="96">
        <v>21539544</v>
      </c>
      <c r="I53" s="96">
        <v>21539544</v>
      </c>
      <c r="J53" s="96">
        <v>0</v>
      </c>
      <c r="K53" s="96">
        <v>10769772</v>
      </c>
      <c r="L53" s="96">
        <v>10769772</v>
      </c>
      <c r="M53" s="95">
        <v>1794962</v>
      </c>
      <c r="N53" s="95">
        <v>1794962</v>
      </c>
      <c r="O53" s="95">
        <v>1794962</v>
      </c>
      <c r="P53" s="95">
        <v>1794962</v>
      </c>
      <c r="Q53" s="95">
        <v>1794962</v>
      </c>
      <c r="R53" s="95">
        <v>1794962</v>
      </c>
      <c r="S53" s="94">
        <f t="shared" si="15"/>
        <v>21539544</v>
      </c>
      <c r="T53" s="94">
        <f t="shared" si="17"/>
        <v>0</v>
      </c>
      <c r="U53" s="94"/>
    </row>
    <row r="54" spans="1:21" ht="12.75" hidden="1" customHeight="1" x14ac:dyDescent="0.2">
      <c r="A54" s="99">
        <v>1</v>
      </c>
      <c r="B54" s="99" t="s">
        <v>66</v>
      </c>
      <c r="C54" s="97">
        <v>21</v>
      </c>
      <c r="D54" s="97">
        <v>2101004006</v>
      </c>
      <c r="E54" s="97" t="s">
        <v>378</v>
      </c>
      <c r="F54" s="98" t="s">
        <v>88</v>
      </c>
      <c r="G54" s="97"/>
      <c r="H54" s="96">
        <v>443452</v>
      </c>
      <c r="I54" s="96">
        <v>0</v>
      </c>
      <c r="J54" s="96">
        <v>443452</v>
      </c>
      <c r="K54" s="96">
        <v>0</v>
      </c>
      <c r="L54" s="96">
        <v>0</v>
      </c>
      <c r="M54" s="95"/>
      <c r="N54" s="95"/>
      <c r="O54" s="95">
        <v>88690</v>
      </c>
      <c r="P54" s="95">
        <v>88690</v>
      </c>
      <c r="Q54" s="95">
        <v>88690</v>
      </c>
      <c r="R54" s="95">
        <v>177382</v>
      </c>
      <c r="S54" s="94">
        <f t="shared" si="15"/>
        <v>443452</v>
      </c>
      <c r="T54" s="94">
        <f t="shared" si="17"/>
        <v>0</v>
      </c>
      <c r="U54" s="94"/>
    </row>
    <row r="55" spans="1:21" s="54" customFormat="1" ht="12.75" hidden="1" customHeight="1" x14ac:dyDescent="0.2">
      <c r="A55" s="60">
        <v>1</v>
      </c>
      <c r="B55" s="60" t="s">
        <v>66</v>
      </c>
      <c r="C55" s="59">
        <v>21</v>
      </c>
      <c r="D55" s="59">
        <v>21</v>
      </c>
      <c r="E55" s="59" t="s">
        <v>377</v>
      </c>
      <c r="F55" s="59" t="s">
        <v>241</v>
      </c>
      <c r="G55" s="59" t="s">
        <v>241</v>
      </c>
      <c r="H55" s="58">
        <f t="shared" ref="H55:R55" si="23">H56</f>
        <v>1427874</v>
      </c>
      <c r="I55" s="58">
        <f t="shared" si="23"/>
        <v>330207</v>
      </c>
      <c r="J55" s="58">
        <f t="shared" si="23"/>
        <v>1097667</v>
      </c>
      <c r="K55" s="58">
        <f t="shared" si="23"/>
        <v>330207</v>
      </c>
      <c r="L55" s="58">
        <f t="shared" si="23"/>
        <v>0</v>
      </c>
      <c r="M55" s="58">
        <f t="shared" si="23"/>
        <v>0</v>
      </c>
      <c r="N55" s="58">
        <f t="shared" si="23"/>
        <v>0</v>
      </c>
      <c r="O55" s="58">
        <f t="shared" si="23"/>
        <v>150000</v>
      </c>
      <c r="P55" s="58">
        <f t="shared" si="23"/>
        <v>150000</v>
      </c>
      <c r="Q55" s="58">
        <f t="shared" si="23"/>
        <v>150000</v>
      </c>
      <c r="R55" s="58">
        <f t="shared" si="23"/>
        <v>647667</v>
      </c>
      <c r="S55" s="57">
        <f t="shared" si="15"/>
        <v>1427874</v>
      </c>
      <c r="T55" s="57">
        <f t="shared" si="17"/>
        <v>0</v>
      </c>
      <c r="U55" s="57"/>
    </row>
    <row r="56" spans="1:21" ht="12.75" hidden="1" customHeight="1" x14ac:dyDescent="0.2">
      <c r="A56" s="99">
        <v>1</v>
      </c>
      <c r="B56" s="99" t="s">
        <v>66</v>
      </c>
      <c r="C56" s="97">
        <v>21</v>
      </c>
      <c r="D56" s="97">
        <v>2101004006</v>
      </c>
      <c r="E56" s="97" t="s">
        <v>377</v>
      </c>
      <c r="F56" s="98" t="s">
        <v>88</v>
      </c>
      <c r="G56" s="97"/>
      <c r="H56" s="96">
        <v>1427874</v>
      </c>
      <c r="I56" s="96">
        <v>330207</v>
      </c>
      <c r="J56" s="96">
        <v>1097667</v>
      </c>
      <c r="K56" s="96">
        <v>330207</v>
      </c>
      <c r="L56" s="96">
        <v>0</v>
      </c>
      <c r="M56" s="95"/>
      <c r="N56" s="95"/>
      <c r="O56" s="95">
        <v>150000</v>
      </c>
      <c r="P56" s="95">
        <v>150000</v>
      </c>
      <c r="Q56" s="95">
        <v>150000</v>
      </c>
      <c r="R56" s="95">
        <v>647667</v>
      </c>
      <c r="S56" s="94">
        <f t="shared" si="15"/>
        <v>1427874</v>
      </c>
      <c r="T56" s="94">
        <f t="shared" si="17"/>
        <v>0</v>
      </c>
      <c r="U56" s="94"/>
    </row>
    <row r="57" spans="1:21" s="54" customFormat="1" ht="12.75" hidden="1" customHeight="1" x14ac:dyDescent="0.2">
      <c r="A57" s="60">
        <v>1</v>
      </c>
      <c r="B57" s="60" t="s">
        <v>66</v>
      </c>
      <c r="C57" s="59">
        <v>21</v>
      </c>
      <c r="D57" s="59">
        <v>21</v>
      </c>
      <c r="E57" s="59" t="s">
        <v>374</v>
      </c>
      <c r="F57" s="59" t="s">
        <v>241</v>
      </c>
      <c r="G57" s="59" t="s">
        <v>241</v>
      </c>
      <c r="H57" s="58">
        <f>SUM(H58:H60)</f>
        <v>146864641</v>
      </c>
      <c r="I57" s="58">
        <f>SUM(I58:I60)</f>
        <v>146486124</v>
      </c>
      <c r="J57" s="58">
        <f>H57-I57</f>
        <v>378517</v>
      </c>
      <c r="K57" s="58">
        <f t="shared" ref="K57:R57" si="24">SUM(K58:K60)</f>
        <v>73243062</v>
      </c>
      <c r="L57" s="58">
        <f t="shared" si="24"/>
        <v>73243062</v>
      </c>
      <c r="M57" s="58">
        <f t="shared" si="24"/>
        <v>12207177</v>
      </c>
      <c r="N57" s="58">
        <f t="shared" si="24"/>
        <v>12207177</v>
      </c>
      <c r="O57" s="58">
        <f t="shared" si="24"/>
        <v>12207177</v>
      </c>
      <c r="P57" s="58">
        <f t="shared" si="24"/>
        <v>12585694</v>
      </c>
      <c r="Q57" s="58">
        <f t="shared" si="24"/>
        <v>12207177</v>
      </c>
      <c r="R57" s="58">
        <f t="shared" si="24"/>
        <v>12207177</v>
      </c>
      <c r="S57" s="57">
        <f t="shared" si="15"/>
        <v>146864641</v>
      </c>
      <c r="T57" s="57">
        <f t="shared" si="17"/>
        <v>0</v>
      </c>
      <c r="U57" s="57"/>
    </row>
    <row r="58" spans="1:21" ht="12.75" hidden="1" customHeight="1" x14ac:dyDescent="0.2">
      <c r="A58" s="99">
        <v>1</v>
      </c>
      <c r="B58" s="99" t="s">
        <v>66</v>
      </c>
      <c r="C58" s="97">
        <v>21</v>
      </c>
      <c r="D58" s="97">
        <v>2103001001</v>
      </c>
      <c r="E58" s="97" t="s">
        <v>374</v>
      </c>
      <c r="F58" s="98" t="s">
        <v>90</v>
      </c>
      <c r="G58" s="97"/>
      <c r="H58" s="96">
        <v>146486124</v>
      </c>
      <c r="I58" s="96">
        <v>146486124</v>
      </c>
      <c r="J58" s="96">
        <v>0</v>
      </c>
      <c r="K58" s="96">
        <v>73243062</v>
      </c>
      <c r="L58" s="96">
        <v>73243062</v>
      </c>
      <c r="M58" s="95">
        <v>12207177</v>
      </c>
      <c r="N58" s="95">
        <v>12207177</v>
      </c>
      <c r="O58" s="95">
        <v>12207177</v>
      </c>
      <c r="P58" s="95">
        <v>12207177</v>
      </c>
      <c r="Q58" s="95">
        <v>12207177</v>
      </c>
      <c r="R58" s="95">
        <v>12207177</v>
      </c>
      <c r="S58" s="94">
        <f t="shared" si="15"/>
        <v>146486124</v>
      </c>
      <c r="T58" s="94">
        <f t="shared" si="17"/>
        <v>0</v>
      </c>
      <c r="U58" s="94"/>
    </row>
    <row r="59" spans="1:21" ht="12.75" hidden="1" customHeight="1" x14ac:dyDescent="0.2">
      <c r="A59" s="99">
        <v>1</v>
      </c>
      <c r="B59" s="99" t="s">
        <v>66</v>
      </c>
      <c r="C59" s="97">
        <v>21</v>
      </c>
      <c r="D59" s="97">
        <v>2101004006</v>
      </c>
      <c r="E59" s="97" t="s">
        <v>374</v>
      </c>
      <c r="F59" s="98" t="s">
        <v>376</v>
      </c>
      <c r="G59" s="97"/>
      <c r="H59" s="96">
        <v>141517</v>
      </c>
      <c r="I59" s="96">
        <v>0</v>
      </c>
      <c r="J59" s="96">
        <v>141517</v>
      </c>
      <c r="K59" s="96">
        <v>0</v>
      </c>
      <c r="L59" s="96">
        <v>0</v>
      </c>
      <c r="M59" s="95"/>
      <c r="N59" s="74"/>
      <c r="O59" s="95"/>
      <c r="P59" s="106">
        <v>141517</v>
      </c>
      <c r="Q59" s="95"/>
      <c r="R59" s="95"/>
      <c r="S59" s="94">
        <f t="shared" si="15"/>
        <v>141517</v>
      </c>
      <c r="T59" s="94">
        <f t="shared" si="17"/>
        <v>0</v>
      </c>
      <c r="U59" s="94"/>
    </row>
    <row r="60" spans="1:21" ht="12.75" hidden="1" customHeight="1" x14ac:dyDescent="0.2">
      <c r="A60" s="99">
        <v>1</v>
      </c>
      <c r="B60" s="99" t="s">
        <v>66</v>
      </c>
      <c r="C60" s="97">
        <v>21</v>
      </c>
      <c r="D60" s="97">
        <v>2102004006</v>
      </c>
      <c r="E60" s="97" t="s">
        <v>374</v>
      </c>
      <c r="F60" s="98" t="s">
        <v>375</v>
      </c>
      <c r="G60" s="97"/>
      <c r="H60" s="96">
        <v>237000</v>
      </c>
      <c r="I60" s="96">
        <v>0</v>
      </c>
      <c r="J60" s="96">
        <v>237000</v>
      </c>
      <c r="K60" s="96">
        <v>0</v>
      </c>
      <c r="L60" s="96">
        <v>0</v>
      </c>
      <c r="M60" s="95"/>
      <c r="N60" s="74"/>
      <c r="O60" s="95"/>
      <c r="P60" s="106">
        <v>237000</v>
      </c>
      <c r="Q60" s="95"/>
      <c r="R60" s="95"/>
      <c r="S60" s="94">
        <f t="shared" si="15"/>
        <v>237000</v>
      </c>
      <c r="T60" s="94">
        <f t="shared" si="17"/>
        <v>0</v>
      </c>
      <c r="U60" s="94"/>
    </row>
    <row r="61" spans="1:21" s="54" customFormat="1" ht="12.75" hidden="1" customHeight="1" x14ac:dyDescent="0.2">
      <c r="A61" s="60">
        <v>1</v>
      </c>
      <c r="B61" s="60" t="s">
        <v>66</v>
      </c>
      <c r="C61" s="59">
        <v>22</v>
      </c>
      <c r="D61" s="59">
        <v>22</v>
      </c>
      <c r="E61" s="59" t="s">
        <v>374</v>
      </c>
      <c r="F61" s="71" t="s">
        <v>81</v>
      </c>
      <c r="G61" s="59" t="s">
        <v>86</v>
      </c>
      <c r="H61" s="58">
        <f>SUM(H62:H62)</f>
        <v>4000000</v>
      </c>
      <c r="I61" s="58">
        <f>SUM(I62:I62)</f>
        <v>0</v>
      </c>
      <c r="J61" s="58">
        <f>SUM(J62:J62)</f>
        <v>4000000</v>
      </c>
      <c r="K61" s="58">
        <f>SUM(K62:K62)</f>
        <v>0</v>
      </c>
      <c r="L61" s="58">
        <f>I61-K61</f>
        <v>0</v>
      </c>
      <c r="M61" s="58">
        <f t="shared" ref="M61:S61" si="25">SUM(M62:M62)</f>
        <v>0</v>
      </c>
      <c r="N61" s="58">
        <f t="shared" si="25"/>
        <v>0</v>
      </c>
      <c r="O61" s="58">
        <f t="shared" si="25"/>
        <v>4000000</v>
      </c>
      <c r="P61" s="58">
        <f t="shared" si="25"/>
        <v>0</v>
      </c>
      <c r="Q61" s="58">
        <f t="shared" si="25"/>
        <v>0</v>
      </c>
      <c r="R61" s="58">
        <f t="shared" si="25"/>
        <v>0</v>
      </c>
      <c r="S61" s="58">
        <f t="shared" si="25"/>
        <v>4000000</v>
      </c>
      <c r="T61" s="57">
        <f t="shared" si="17"/>
        <v>0</v>
      </c>
      <c r="U61" s="57"/>
    </row>
    <row r="62" spans="1:21" ht="12.75" hidden="1" customHeight="1" x14ac:dyDescent="0.2">
      <c r="A62" s="99">
        <v>1</v>
      </c>
      <c r="B62" s="99" t="s">
        <v>66</v>
      </c>
      <c r="C62" s="97">
        <v>22</v>
      </c>
      <c r="D62" s="97">
        <v>2207002006</v>
      </c>
      <c r="E62" s="97" t="s">
        <v>374</v>
      </c>
      <c r="F62" s="98" t="s">
        <v>373</v>
      </c>
      <c r="G62" s="97"/>
      <c r="H62" s="96">
        <v>4000000</v>
      </c>
      <c r="I62" s="96"/>
      <c r="J62" s="96">
        <f>H62-I62</f>
        <v>4000000</v>
      </c>
      <c r="K62" s="96"/>
      <c r="L62" s="96">
        <f>I62-K62</f>
        <v>0</v>
      </c>
      <c r="M62" s="95"/>
      <c r="N62" s="95"/>
      <c r="O62" s="102">
        <v>4000000</v>
      </c>
      <c r="P62" s="95"/>
      <c r="Q62" s="95"/>
      <c r="R62" s="95"/>
      <c r="S62" s="94">
        <f t="shared" ref="S62:S93" si="26">SUM(K62:R62)-L62</f>
        <v>4000000</v>
      </c>
      <c r="T62" s="94">
        <f t="shared" si="17"/>
        <v>0</v>
      </c>
      <c r="U62" s="94"/>
    </row>
    <row r="63" spans="1:21" s="54" customFormat="1" ht="12.75" hidden="1" customHeight="1" x14ac:dyDescent="0.2">
      <c r="A63" s="60">
        <v>1</v>
      </c>
      <c r="B63" s="60" t="s">
        <v>66</v>
      </c>
      <c r="C63" s="59">
        <v>21</v>
      </c>
      <c r="D63" s="59">
        <v>21</v>
      </c>
      <c r="E63" s="59" t="s">
        <v>372</v>
      </c>
      <c r="F63" s="59" t="s">
        <v>241</v>
      </c>
      <c r="G63" s="59" t="s">
        <v>241</v>
      </c>
      <c r="H63" s="58">
        <f>SUM(H64:H67)</f>
        <v>202071616</v>
      </c>
      <c r="I63" s="58">
        <f>SUM(I64:I67)</f>
        <v>176923526</v>
      </c>
      <c r="J63" s="58">
        <f>H63-I63</f>
        <v>25148090</v>
      </c>
      <c r="K63" s="58">
        <f t="shared" ref="K63:R63" si="27">SUM(K64:K67)</f>
        <v>100280486</v>
      </c>
      <c r="L63" s="58">
        <f t="shared" si="27"/>
        <v>76643040</v>
      </c>
      <c r="M63" s="58">
        <f t="shared" si="27"/>
        <v>16662729</v>
      </c>
      <c r="N63" s="58">
        <f t="shared" si="27"/>
        <v>17133033</v>
      </c>
      <c r="O63" s="58">
        <f t="shared" si="27"/>
        <v>16972619</v>
      </c>
      <c r="P63" s="58">
        <f t="shared" si="27"/>
        <v>16972619</v>
      </c>
      <c r="Q63" s="58">
        <f t="shared" si="27"/>
        <v>16967619</v>
      </c>
      <c r="R63" s="58">
        <f t="shared" si="27"/>
        <v>17082511</v>
      </c>
      <c r="S63" s="57">
        <f t="shared" si="26"/>
        <v>202071616</v>
      </c>
      <c r="T63" s="57">
        <f t="shared" si="17"/>
        <v>0</v>
      </c>
      <c r="U63" s="57"/>
    </row>
    <row r="64" spans="1:21" ht="12.75" hidden="1" customHeight="1" x14ac:dyDescent="0.2">
      <c r="A64" s="99">
        <v>1</v>
      </c>
      <c r="B64" s="99" t="s">
        <v>66</v>
      </c>
      <c r="C64" s="97">
        <v>21</v>
      </c>
      <c r="D64" s="97">
        <v>2103001001</v>
      </c>
      <c r="E64" s="97" t="s">
        <v>372</v>
      </c>
      <c r="F64" s="97" t="s">
        <v>90</v>
      </c>
      <c r="G64" s="97"/>
      <c r="H64" s="96">
        <v>199952748</v>
      </c>
      <c r="I64" s="96">
        <v>176619414</v>
      </c>
      <c r="J64" s="96">
        <v>23333334</v>
      </c>
      <c r="K64" s="96">
        <v>99976374</v>
      </c>
      <c r="L64" s="96">
        <v>76643040</v>
      </c>
      <c r="M64" s="95">
        <v>16662729</v>
      </c>
      <c r="N64" s="95">
        <v>16662729</v>
      </c>
      <c r="O64" s="95">
        <v>16662729</v>
      </c>
      <c r="P64" s="95">
        <v>16662729</v>
      </c>
      <c r="Q64" s="95">
        <v>16662729</v>
      </c>
      <c r="R64" s="95">
        <v>16662729</v>
      </c>
      <c r="S64" s="94">
        <f t="shared" si="26"/>
        <v>199952748</v>
      </c>
      <c r="T64" s="94">
        <f t="shared" si="17"/>
        <v>0</v>
      </c>
      <c r="U64" s="94"/>
    </row>
    <row r="65" spans="1:21" ht="12.75" hidden="1" customHeight="1" x14ac:dyDescent="0.2">
      <c r="A65" s="99">
        <v>1</v>
      </c>
      <c r="B65" s="99" t="s">
        <v>66</v>
      </c>
      <c r="C65" s="97">
        <v>21</v>
      </c>
      <c r="D65" s="97">
        <v>2103001002</v>
      </c>
      <c r="E65" s="97" t="s">
        <v>372</v>
      </c>
      <c r="F65" s="98" t="s">
        <v>88</v>
      </c>
      <c r="G65" s="97"/>
      <c r="H65" s="96">
        <v>349104</v>
      </c>
      <c r="I65" s="96">
        <v>188690</v>
      </c>
      <c r="J65" s="96">
        <v>160414</v>
      </c>
      <c r="K65" s="96">
        <v>188690</v>
      </c>
      <c r="L65" s="96">
        <v>0</v>
      </c>
      <c r="M65" s="95"/>
      <c r="N65" s="95">
        <v>160414</v>
      </c>
      <c r="O65" s="95"/>
      <c r="P65" s="95"/>
      <c r="Q65" s="95"/>
      <c r="R65" s="95"/>
      <c r="S65" s="94">
        <f t="shared" si="26"/>
        <v>349104</v>
      </c>
      <c r="T65" s="94">
        <f t="shared" si="17"/>
        <v>0</v>
      </c>
      <c r="U65" s="94"/>
    </row>
    <row r="66" spans="1:21" ht="12.75" hidden="1" customHeight="1" x14ac:dyDescent="0.2">
      <c r="A66" s="99">
        <v>1</v>
      </c>
      <c r="B66" s="99" t="s">
        <v>66</v>
      </c>
      <c r="C66" s="97">
        <v>21</v>
      </c>
      <c r="D66" s="97">
        <v>2101004006</v>
      </c>
      <c r="E66" s="97" t="s">
        <v>372</v>
      </c>
      <c r="F66" s="98" t="s">
        <v>88</v>
      </c>
      <c r="G66" s="97"/>
      <c r="H66" s="96">
        <v>1374764</v>
      </c>
      <c r="I66" s="96">
        <v>115422</v>
      </c>
      <c r="J66" s="96">
        <v>1259342</v>
      </c>
      <c r="K66" s="96">
        <v>115422</v>
      </c>
      <c r="L66" s="96">
        <v>0</v>
      </c>
      <c r="M66" s="95"/>
      <c r="N66" s="95">
        <v>209890</v>
      </c>
      <c r="O66" s="95">
        <v>209890</v>
      </c>
      <c r="P66" s="95">
        <v>209890</v>
      </c>
      <c r="Q66" s="95">
        <v>209890</v>
      </c>
      <c r="R66" s="95">
        <v>419782</v>
      </c>
      <c r="S66" s="94">
        <f t="shared" si="26"/>
        <v>1374764</v>
      </c>
      <c r="T66" s="94">
        <f t="shared" si="17"/>
        <v>0</v>
      </c>
      <c r="U66" s="94"/>
    </row>
    <row r="67" spans="1:21" ht="12.75" hidden="1" customHeight="1" x14ac:dyDescent="0.2">
      <c r="A67" s="99">
        <v>1</v>
      </c>
      <c r="B67" s="99" t="s">
        <v>66</v>
      </c>
      <c r="C67" s="97">
        <v>21</v>
      </c>
      <c r="D67" s="97">
        <v>2102004006</v>
      </c>
      <c r="E67" s="97" t="s">
        <v>372</v>
      </c>
      <c r="F67" s="98" t="s">
        <v>88</v>
      </c>
      <c r="G67" s="97"/>
      <c r="H67" s="96">
        <v>395000</v>
      </c>
      <c r="I67" s="96">
        <v>0</v>
      </c>
      <c r="J67" s="96">
        <v>395000</v>
      </c>
      <c r="K67" s="96">
        <v>0</v>
      </c>
      <c r="L67" s="96">
        <v>0</v>
      </c>
      <c r="M67" s="95"/>
      <c r="N67" s="95">
        <v>100000</v>
      </c>
      <c r="O67" s="95">
        <v>100000</v>
      </c>
      <c r="P67" s="95">
        <v>100000</v>
      </c>
      <c r="Q67" s="95">
        <v>95000</v>
      </c>
      <c r="R67" s="95"/>
      <c r="S67" s="94">
        <f t="shared" si="26"/>
        <v>395000</v>
      </c>
      <c r="T67" s="94">
        <f t="shared" si="17"/>
        <v>0</v>
      </c>
      <c r="U67" s="94"/>
    </row>
    <row r="68" spans="1:21" s="54" customFormat="1" ht="12.75" hidden="1" customHeight="1" x14ac:dyDescent="0.2">
      <c r="A68" s="60">
        <v>1</v>
      </c>
      <c r="B68" s="60" t="s">
        <v>66</v>
      </c>
      <c r="C68" s="59">
        <v>22</v>
      </c>
      <c r="D68" s="59">
        <v>22</v>
      </c>
      <c r="E68" s="59" t="s">
        <v>372</v>
      </c>
      <c r="F68" s="71" t="s">
        <v>81</v>
      </c>
      <c r="G68" s="59" t="s">
        <v>86</v>
      </c>
      <c r="H68" s="58">
        <f>SUM(H69+H70)</f>
        <v>6993578</v>
      </c>
      <c r="I68" s="58">
        <f>SUM(I69+I70)</f>
        <v>4938993</v>
      </c>
      <c r="J68" s="58">
        <f>H68-I68</f>
        <v>2054585</v>
      </c>
      <c r="K68" s="58">
        <f>SUM(K69+K70)</f>
        <v>4938993</v>
      </c>
      <c r="L68" s="58">
        <f>SUM(L69+L70)</f>
        <v>0</v>
      </c>
      <c r="M68" s="58">
        <f t="shared" ref="M68:R68" si="28">SUM(M69:M70)</f>
        <v>0</v>
      </c>
      <c r="N68" s="58">
        <f t="shared" si="28"/>
        <v>600000</v>
      </c>
      <c r="O68" s="58">
        <f t="shared" si="28"/>
        <v>0</v>
      </c>
      <c r="P68" s="58">
        <f t="shared" si="28"/>
        <v>854585</v>
      </c>
      <c r="Q68" s="58">
        <f t="shared" si="28"/>
        <v>600000</v>
      </c>
      <c r="R68" s="58">
        <f t="shared" si="28"/>
        <v>0</v>
      </c>
      <c r="S68" s="58">
        <f t="shared" si="26"/>
        <v>6993578</v>
      </c>
      <c r="T68" s="57">
        <f t="shared" si="17"/>
        <v>0</v>
      </c>
      <c r="U68" s="57"/>
    </row>
    <row r="69" spans="1:21" ht="12.75" hidden="1" customHeight="1" x14ac:dyDescent="0.2">
      <c r="A69" s="99">
        <v>1</v>
      </c>
      <c r="B69" s="99" t="s">
        <v>66</v>
      </c>
      <c r="C69" s="97">
        <v>22</v>
      </c>
      <c r="D69" s="97">
        <v>2211003001</v>
      </c>
      <c r="E69" s="97" t="s">
        <v>372</v>
      </c>
      <c r="F69" s="98" t="s">
        <v>246</v>
      </c>
      <c r="G69" s="97"/>
      <c r="H69" s="96">
        <v>3640078</v>
      </c>
      <c r="I69" s="96">
        <v>3640078</v>
      </c>
      <c r="J69" s="96">
        <f>H69-I69</f>
        <v>0</v>
      </c>
      <c r="K69" s="96">
        <v>3640078</v>
      </c>
      <c r="L69" s="96">
        <v>0</v>
      </c>
      <c r="M69" s="95"/>
      <c r="N69" s="95"/>
      <c r="O69" s="95"/>
      <c r="P69" s="95"/>
      <c r="Q69" s="95"/>
      <c r="R69" s="95"/>
      <c r="S69" s="94">
        <f t="shared" si="26"/>
        <v>3640078</v>
      </c>
      <c r="T69" s="94">
        <f t="shared" si="17"/>
        <v>0</v>
      </c>
      <c r="U69" s="61" t="s">
        <v>73</v>
      </c>
    </row>
    <row r="70" spans="1:21" ht="12.75" hidden="1" customHeight="1" x14ac:dyDescent="0.2">
      <c r="A70" s="99">
        <v>1</v>
      </c>
      <c r="B70" s="99" t="s">
        <v>66</v>
      </c>
      <c r="C70" s="97">
        <v>22</v>
      </c>
      <c r="D70" s="97">
        <v>2212003000</v>
      </c>
      <c r="E70" s="97" t="s">
        <v>372</v>
      </c>
      <c r="F70" s="98" t="s">
        <v>371</v>
      </c>
      <c r="G70" s="97"/>
      <c r="H70" s="96">
        <v>3353500</v>
      </c>
      <c r="I70" s="96">
        <f>SUM(I71:I72)</f>
        <v>1298915</v>
      </c>
      <c r="J70" s="96">
        <f>H70-I70</f>
        <v>2054585</v>
      </c>
      <c r="K70" s="96">
        <f t="shared" ref="K70:R70" si="29">SUM(K71:K72)</f>
        <v>1298915</v>
      </c>
      <c r="L70" s="96">
        <f t="shared" si="29"/>
        <v>0</v>
      </c>
      <c r="M70" s="96">
        <f t="shared" si="29"/>
        <v>0</v>
      </c>
      <c r="N70" s="96">
        <f t="shared" si="29"/>
        <v>600000</v>
      </c>
      <c r="O70" s="96">
        <f t="shared" si="29"/>
        <v>0</v>
      </c>
      <c r="P70" s="96">
        <f t="shared" si="29"/>
        <v>854585</v>
      </c>
      <c r="Q70" s="96">
        <f t="shared" si="29"/>
        <v>600000</v>
      </c>
      <c r="R70" s="96">
        <f t="shared" si="29"/>
        <v>0</v>
      </c>
      <c r="S70" s="57">
        <f t="shared" si="26"/>
        <v>3353500</v>
      </c>
      <c r="T70" s="57">
        <f t="shared" si="17"/>
        <v>0</v>
      </c>
      <c r="U70" s="57"/>
    </row>
    <row r="71" spans="1:21" customFormat="1" ht="15" hidden="1" customHeight="1" x14ac:dyDescent="0.25">
      <c r="A71" s="67">
        <v>1</v>
      </c>
      <c r="B71" s="67" t="s">
        <v>70</v>
      </c>
      <c r="C71" s="66">
        <v>22</v>
      </c>
      <c r="D71" s="66">
        <v>2212003000</v>
      </c>
      <c r="E71" s="66" t="s">
        <v>372</v>
      </c>
      <c r="F71" s="65" t="s">
        <v>371</v>
      </c>
      <c r="G71" s="65" t="s">
        <v>266</v>
      </c>
      <c r="H71" s="64"/>
      <c r="I71" s="63">
        <v>1298915</v>
      </c>
      <c r="J71" s="64"/>
      <c r="K71" s="63">
        <v>1298915</v>
      </c>
      <c r="L71" s="63">
        <f>I71-K71</f>
        <v>0</v>
      </c>
      <c r="M71" s="62"/>
      <c r="N71" s="62"/>
      <c r="O71" s="62"/>
      <c r="P71" s="62"/>
      <c r="Q71" s="62"/>
      <c r="R71" s="62"/>
      <c r="S71" s="61">
        <f t="shared" si="26"/>
        <v>1298915</v>
      </c>
      <c r="T71" s="61">
        <f>I71-S71</f>
        <v>0</v>
      </c>
      <c r="U71" s="61" t="s">
        <v>73</v>
      </c>
    </row>
    <row r="72" spans="1:21" customFormat="1" ht="15" hidden="1" customHeight="1" x14ac:dyDescent="0.25">
      <c r="A72" s="67">
        <v>1</v>
      </c>
      <c r="B72" s="67" t="s">
        <v>70</v>
      </c>
      <c r="C72" s="66">
        <v>22</v>
      </c>
      <c r="D72" s="66">
        <v>2212003000</v>
      </c>
      <c r="E72" s="66" t="s">
        <v>372</v>
      </c>
      <c r="F72" s="65" t="s">
        <v>371</v>
      </c>
      <c r="G72" s="65" t="s">
        <v>350</v>
      </c>
      <c r="H72" s="64"/>
      <c r="I72" s="63"/>
      <c r="J72" s="64"/>
      <c r="K72" s="63"/>
      <c r="L72" s="63"/>
      <c r="M72" s="62"/>
      <c r="N72" s="62">
        <v>600000</v>
      </c>
      <c r="O72" s="62"/>
      <c r="P72" s="62">
        <v>854585</v>
      </c>
      <c r="Q72" s="62">
        <v>600000</v>
      </c>
      <c r="R72" s="62"/>
      <c r="S72" s="61">
        <f t="shared" si="26"/>
        <v>2054585</v>
      </c>
      <c r="T72" s="61">
        <f>I72-S72</f>
        <v>-2054585</v>
      </c>
      <c r="U72" s="61"/>
    </row>
    <row r="73" spans="1:21" s="54" customFormat="1" ht="12.75" hidden="1" customHeight="1" x14ac:dyDescent="0.2">
      <c r="A73" s="60">
        <v>1</v>
      </c>
      <c r="B73" s="60" t="s">
        <v>66</v>
      </c>
      <c r="C73" s="59">
        <v>22</v>
      </c>
      <c r="D73" s="59">
        <v>22</v>
      </c>
      <c r="E73" s="59" t="s">
        <v>370</v>
      </c>
      <c r="F73" s="71" t="s">
        <v>81</v>
      </c>
      <c r="G73" s="59" t="s">
        <v>86</v>
      </c>
      <c r="H73" s="58">
        <f>H74+H75</f>
        <v>37000000</v>
      </c>
      <c r="I73" s="58">
        <f>I74+I75</f>
        <v>0</v>
      </c>
      <c r="J73" s="58">
        <f>J74+J75</f>
        <v>37000000</v>
      </c>
      <c r="K73" s="58">
        <f>K74+K75</f>
        <v>0</v>
      </c>
      <c r="L73" s="58">
        <f>I73-K73</f>
        <v>0</v>
      </c>
      <c r="M73" s="58">
        <f t="shared" ref="M73:R73" si="30">M74+M75</f>
        <v>0</v>
      </c>
      <c r="N73" s="58">
        <f t="shared" si="30"/>
        <v>0</v>
      </c>
      <c r="O73" s="58">
        <f t="shared" si="30"/>
        <v>37000000</v>
      </c>
      <c r="P73" s="58">
        <f t="shared" si="30"/>
        <v>0</v>
      </c>
      <c r="Q73" s="58">
        <f t="shared" si="30"/>
        <v>0</v>
      </c>
      <c r="R73" s="58">
        <f t="shared" si="30"/>
        <v>0</v>
      </c>
      <c r="S73" s="58">
        <f t="shared" si="26"/>
        <v>37000000</v>
      </c>
      <c r="T73" s="57">
        <f t="shared" ref="T73:T80" si="31">H73-S73</f>
        <v>0</v>
      </c>
      <c r="U73" s="57"/>
    </row>
    <row r="74" spans="1:21" ht="12.75" hidden="1" customHeight="1" x14ac:dyDescent="0.2">
      <c r="A74" s="99">
        <v>1</v>
      </c>
      <c r="B74" s="99" t="s">
        <v>66</v>
      </c>
      <c r="C74" s="97">
        <v>22</v>
      </c>
      <c r="D74" s="97">
        <v>2204001000</v>
      </c>
      <c r="E74" s="97" t="s">
        <v>370</v>
      </c>
      <c r="F74" s="98" t="s">
        <v>365</v>
      </c>
      <c r="G74" s="97"/>
      <c r="H74" s="96">
        <v>7000000</v>
      </c>
      <c r="I74" s="96"/>
      <c r="J74" s="96">
        <f>H74-I74</f>
        <v>7000000</v>
      </c>
      <c r="K74" s="96"/>
      <c r="L74" s="96">
        <f>I74-K74</f>
        <v>0</v>
      </c>
      <c r="M74" s="95"/>
      <c r="N74" s="95"/>
      <c r="O74" s="95">
        <v>7000000</v>
      </c>
      <c r="P74" s="95"/>
      <c r="Q74" s="95"/>
      <c r="R74" s="95"/>
      <c r="S74" s="94">
        <f t="shared" si="26"/>
        <v>7000000</v>
      </c>
      <c r="T74" s="94">
        <f t="shared" si="31"/>
        <v>0</v>
      </c>
      <c r="U74" s="94"/>
    </row>
    <row r="75" spans="1:21" ht="25.5" hidden="1" customHeight="1" x14ac:dyDescent="0.2">
      <c r="A75" s="99">
        <v>1</v>
      </c>
      <c r="B75" s="99" t="s">
        <v>66</v>
      </c>
      <c r="C75" s="97">
        <v>22</v>
      </c>
      <c r="D75" s="97">
        <v>2211999015</v>
      </c>
      <c r="E75" s="97" t="s">
        <v>370</v>
      </c>
      <c r="F75" s="98" t="s">
        <v>369</v>
      </c>
      <c r="G75" s="97"/>
      <c r="H75" s="96">
        <v>30000000</v>
      </c>
      <c r="I75" s="96"/>
      <c r="J75" s="96">
        <f>H75-I75</f>
        <v>30000000</v>
      </c>
      <c r="K75" s="96"/>
      <c r="L75" s="96">
        <f>I75-K75</f>
        <v>0</v>
      </c>
      <c r="M75" s="95"/>
      <c r="N75" s="95"/>
      <c r="O75" s="95">
        <v>30000000</v>
      </c>
      <c r="P75" s="95"/>
      <c r="Q75" s="95"/>
      <c r="R75" s="95"/>
      <c r="S75" s="94">
        <f t="shared" si="26"/>
        <v>30000000</v>
      </c>
      <c r="T75" s="94">
        <f t="shared" si="31"/>
        <v>0</v>
      </c>
      <c r="U75" s="94"/>
    </row>
    <row r="76" spans="1:21" s="54" customFormat="1" ht="12.75" hidden="1" customHeight="1" x14ac:dyDescent="0.2">
      <c r="A76" s="60">
        <v>1</v>
      </c>
      <c r="B76" s="60" t="s">
        <v>66</v>
      </c>
      <c r="C76" s="59">
        <v>21</v>
      </c>
      <c r="D76" s="59">
        <v>21</v>
      </c>
      <c r="E76" s="59" t="s">
        <v>305</v>
      </c>
      <c r="F76" s="59" t="s">
        <v>241</v>
      </c>
      <c r="G76" s="59" t="s">
        <v>241</v>
      </c>
      <c r="H76" s="58">
        <f t="shared" ref="H76:R76" si="32">H77+H78</f>
        <v>14044111</v>
      </c>
      <c r="I76" s="58">
        <f t="shared" si="32"/>
        <v>13620779</v>
      </c>
      <c r="J76" s="58">
        <f t="shared" si="32"/>
        <v>423332</v>
      </c>
      <c r="K76" s="58">
        <f t="shared" si="32"/>
        <v>7532897</v>
      </c>
      <c r="L76" s="58">
        <f t="shared" si="32"/>
        <v>6087882</v>
      </c>
      <c r="M76" s="58">
        <f t="shared" si="32"/>
        <v>1088408.5</v>
      </c>
      <c r="N76" s="58">
        <f t="shared" si="32"/>
        <v>1088408.5</v>
      </c>
      <c r="O76" s="58">
        <f t="shared" si="32"/>
        <v>1088408.5</v>
      </c>
      <c r="P76" s="58">
        <f t="shared" si="32"/>
        <v>1088408.5</v>
      </c>
      <c r="Q76" s="58">
        <f t="shared" si="32"/>
        <v>1088408.5</v>
      </c>
      <c r="R76" s="58">
        <f t="shared" si="32"/>
        <v>1069171.5</v>
      </c>
      <c r="S76" s="57">
        <f t="shared" si="26"/>
        <v>14044111</v>
      </c>
      <c r="T76" s="57">
        <f t="shared" si="31"/>
        <v>0</v>
      </c>
      <c r="U76" s="57"/>
    </row>
    <row r="77" spans="1:21" ht="12.75" hidden="1" customHeight="1" x14ac:dyDescent="0.2">
      <c r="A77" s="99">
        <v>1</v>
      </c>
      <c r="B77" s="99" t="s">
        <v>66</v>
      </c>
      <c r="C77" s="97">
        <v>21</v>
      </c>
      <c r="D77" s="97">
        <v>2103001001</v>
      </c>
      <c r="E77" s="97" t="s">
        <v>305</v>
      </c>
      <c r="F77" s="97" t="s">
        <v>90</v>
      </c>
      <c r="G77" s="97"/>
      <c r="H77" s="96">
        <v>12175764</v>
      </c>
      <c r="I77" s="96">
        <v>12175764</v>
      </c>
      <c r="J77" s="96">
        <v>0</v>
      </c>
      <c r="K77" s="96">
        <v>6087882</v>
      </c>
      <c r="L77" s="96">
        <v>6087882</v>
      </c>
      <c r="M77" s="95">
        <v>1014647</v>
      </c>
      <c r="N77" s="95">
        <v>1014647</v>
      </c>
      <c r="O77" s="95">
        <v>1014647</v>
      </c>
      <c r="P77" s="95">
        <v>1014647</v>
      </c>
      <c r="Q77" s="95">
        <v>1014647</v>
      </c>
      <c r="R77" s="95">
        <v>1014647</v>
      </c>
      <c r="S77" s="94">
        <f t="shared" si="26"/>
        <v>12175764</v>
      </c>
      <c r="T77" s="94">
        <f t="shared" si="31"/>
        <v>0</v>
      </c>
      <c r="U77" s="94"/>
    </row>
    <row r="78" spans="1:21" ht="12.75" hidden="1" customHeight="1" x14ac:dyDescent="0.2">
      <c r="A78" s="99">
        <v>1</v>
      </c>
      <c r="B78" s="99" t="s">
        <v>66</v>
      </c>
      <c r="C78" s="97">
        <v>21</v>
      </c>
      <c r="D78" s="97">
        <v>2102004006</v>
      </c>
      <c r="E78" s="97" t="s">
        <v>305</v>
      </c>
      <c r="F78" s="98" t="s">
        <v>88</v>
      </c>
      <c r="G78" s="97"/>
      <c r="H78" s="96">
        <v>1868347</v>
      </c>
      <c r="I78" s="96">
        <v>1445015</v>
      </c>
      <c r="J78" s="96">
        <v>423332</v>
      </c>
      <c r="K78" s="96">
        <v>1445015</v>
      </c>
      <c r="L78" s="96">
        <v>0</v>
      </c>
      <c r="M78" s="95">
        <v>73761.5</v>
      </c>
      <c r="N78" s="95">
        <v>73761.5</v>
      </c>
      <c r="O78" s="95">
        <v>73761.5</v>
      </c>
      <c r="P78" s="95">
        <v>73761.5</v>
      </c>
      <c r="Q78" s="95">
        <v>73761.5</v>
      </c>
      <c r="R78" s="95">
        <v>54524.5</v>
      </c>
      <c r="S78" s="94">
        <f t="shared" si="26"/>
        <v>1868347</v>
      </c>
      <c r="T78" s="94">
        <f t="shared" si="31"/>
        <v>0</v>
      </c>
      <c r="U78" s="94"/>
    </row>
    <row r="79" spans="1:21" s="54" customFormat="1" ht="12.75" hidden="1" customHeight="1" x14ac:dyDescent="0.2">
      <c r="A79" s="60">
        <v>1</v>
      </c>
      <c r="B79" s="60" t="s">
        <v>66</v>
      </c>
      <c r="C79" s="59">
        <v>22</v>
      </c>
      <c r="D79" s="59">
        <v>22</v>
      </c>
      <c r="E79" s="59" t="s">
        <v>305</v>
      </c>
      <c r="F79" s="71" t="s">
        <v>81</v>
      </c>
      <c r="G79" s="59" t="s">
        <v>86</v>
      </c>
      <c r="H79" s="58">
        <f t="shared" ref="H79:R79" si="33">H80+H84+H87+H90+H91+H94+H95+H98+H101+H104+H107+H110+H115+H119+H120+H123+H127+H132+H141+H144+H146+H148+H150+H153+H155+H157+H160+H163</f>
        <v>727391594</v>
      </c>
      <c r="I79" s="58">
        <f t="shared" si="33"/>
        <v>649718009</v>
      </c>
      <c r="J79" s="58">
        <f t="shared" si="33"/>
        <v>77673585</v>
      </c>
      <c r="K79" s="58">
        <f t="shared" si="33"/>
        <v>334178747</v>
      </c>
      <c r="L79" s="58">
        <f t="shared" si="33"/>
        <v>315539262</v>
      </c>
      <c r="M79" s="58">
        <f t="shared" si="33"/>
        <v>36670749</v>
      </c>
      <c r="N79" s="58">
        <f t="shared" si="33"/>
        <v>57773922</v>
      </c>
      <c r="O79" s="58">
        <f t="shared" si="33"/>
        <v>66252360</v>
      </c>
      <c r="P79" s="58">
        <f t="shared" si="33"/>
        <v>53941752</v>
      </c>
      <c r="Q79" s="58">
        <f t="shared" si="33"/>
        <v>84382361</v>
      </c>
      <c r="R79" s="58">
        <f t="shared" si="33"/>
        <v>94191703</v>
      </c>
      <c r="S79" s="57">
        <f t="shared" si="26"/>
        <v>727391594</v>
      </c>
      <c r="T79" s="57">
        <f t="shared" si="31"/>
        <v>0</v>
      </c>
      <c r="U79" s="57"/>
    </row>
    <row r="80" spans="1:21" ht="12.75" hidden="1" customHeight="1" x14ac:dyDescent="0.2">
      <c r="A80" s="99">
        <v>1</v>
      </c>
      <c r="B80" s="99" t="s">
        <v>66</v>
      </c>
      <c r="C80" s="97">
        <v>22</v>
      </c>
      <c r="D80" s="97">
        <v>2203001000</v>
      </c>
      <c r="E80" s="97" t="s">
        <v>305</v>
      </c>
      <c r="F80" s="98" t="s">
        <v>366</v>
      </c>
      <c r="G80" s="97"/>
      <c r="H80" s="96">
        <f>3000000-1643374</f>
        <v>1356626</v>
      </c>
      <c r="I80" s="96">
        <f>SUM(I81:I83)</f>
        <v>607626</v>
      </c>
      <c r="J80" s="96">
        <f>H80-I80</f>
        <v>749000</v>
      </c>
      <c r="K80" s="96">
        <f t="shared" ref="K80:R80" si="34">SUM(K81:K83)</f>
        <v>107626</v>
      </c>
      <c r="L80" s="96">
        <f t="shared" si="34"/>
        <v>500000</v>
      </c>
      <c r="M80" s="96">
        <f t="shared" si="34"/>
        <v>0</v>
      </c>
      <c r="N80" s="96">
        <f t="shared" si="34"/>
        <v>500000</v>
      </c>
      <c r="O80" s="96">
        <f t="shared" si="34"/>
        <v>749000</v>
      </c>
      <c r="P80" s="96">
        <f t="shared" si="34"/>
        <v>0</v>
      </c>
      <c r="Q80" s="96">
        <f t="shared" si="34"/>
        <v>0</v>
      </c>
      <c r="R80" s="96">
        <f t="shared" si="34"/>
        <v>0</v>
      </c>
      <c r="S80" s="58">
        <f t="shared" si="26"/>
        <v>1356626</v>
      </c>
      <c r="T80" s="94">
        <f t="shared" si="31"/>
        <v>0</v>
      </c>
      <c r="U80" s="94"/>
    </row>
    <row r="81" spans="1:21" customFormat="1" ht="33.75" hidden="1" customHeight="1" x14ac:dyDescent="0.25">
      <c r="A81" s="67">
        <v>1</v>
      </c>
      <c r="B81" s="67" t="s">
        <v>70</v>
      </c>
      <c r="C81" s="66">
        <v>22</v>
      </c>
      <c r="D81" s="66">
        <v>2203001000</v>
      </c>
      <c r="E81" s="66" t="s">
        <v>305</v>
      </c>
      <c r="F81" s="65" t="s">
        <v>366</v>
      </c>
      <c r="G81" s="65" t="s">
        <v>368</v>
      </c>
      <c r="H81" s="64"/>
      <c r="I81" s="63">
        <f>2200000-1643374</f>
        <v>556626</v>
      </c>
      <c r="J81" s="64"/>
      <c r="K81" s="63">
        <v>56626</v>
      </c>
      <c r="L81" s="63">
        <f>I81-K81</f>
        <v>500000</v>
      </c>
      <c r="M81" s="62"/>
      <c r="N81" s="62">
        <v>500000</v>
      </c>
      <c r="O81" s="62"/>
      <c r="P81" s="62"/>
      <c r="Q81" s="62"/>
      <c r="R81" s="62"/>
      <c r="S81" s="61">
        <f t="shared" si="26"/>
        <v>556626</v>
      </c>
      <c r="T81" s="61">
        <f>I81-S81</f>
        <v>0</v>
      </c>
      <c r="U81" s="61"/>
    </row>
    <row r="82" spans="1:21" customFormat="1" ht="22.5" hidden="1" customHeight="1" x14ac:dyDescent="0.25">
      <c r="A82" s="67">
        <v>1</v>
      </c>
      <c r="B82" s="67" t="s">
        <v>70</v>
      </c>
      <c r="C82" s="66">
        <v>22</v>
      </c>
      <c r="D82" s="66">
        <v>2203001000</v>
      </c>
      <c r="E82" s="66" t="s">
        <v>305</v>
      </c>
      <c r="F82" s="65" t="s">
        <v>366</v>
      </c>
      <c r="G82" s="65" t="s">
        <v>367</v>
      </c>
      <c r="H82" s="64"/>
      <c r="I82" s="63">
        <v>51000</v>
      </c>
      <c r="J82" s="64"/>
      <c r="K82" s="63">
        <v>51000</v>
      </c>
      <c r="L82" s="63">
        <f>I82-K82</f>
        <v>0</v>
      </c>
      <c r="M82" s="62"/>
      <c r="N82" s="62"/>
      <c r="O82" s="62"/>
      <c r="P82" s="62"/>
      <c r="Q82" s="62"/>
      <c r="R82" s="62"/>
      <c r="S82" s="61">
        <f t="shared" si="26"/>
        <v>51000</v>
      </c>
      <c r="T82" s="61">
        <f>I82-S82</f>
        <v>0</v>
      </c>
      <c r="U82" s="61" t="s">
        <v>73</v>
      </c>
    </row>
    <row r="83" spans="1:21" customFormat="1" ht="15" hidden="1" customHeight="1" x14ac:dyDescent="0.25">
      <c r="A83" s="67">
        <v>1</v>
      </c>
      <c r="B83" s="67" t="s">
        <v>70</v>
      </c>
      <c r="C83" s="66">
        <v>22</v>
      </c>
      <c r="D83" s="66">
        <v>2203001000</v>
      </c>
      <c r="E83" s="66" t="s">
        <v>305</v>
      </c>
      <c r="F83" s="65" t="s">
        <v>366</v>
      </c>
      <c r="G83" s="65" t="s">
        <v>67</v>
      </c>
      <c r="H83" s="64"/>
      <c r="I83" s="63"/>
      <c r="J83" s="64"/>
      <c r="K83" s="63"/>
      <c r="L83" s="63">
        <f>I83-K83</f>
        <v>0</v>
      </c>
      <c r="M83" s="62"/>
      <c r="N83" s="62"/>
      <c r="O83" s="62">
        <v>749000</v>
      </c>
      <c r="P83" s="62"/>
      <c r="Q83" s="62"/>
      <c r="R83" s="62"/>
      <c r="S83" s="61">
        <f t="shared" si="26"/>
        <v>749000</v>
      </c>
      <c r="T83" s="61">
        <f>I83-S83</f>
        <v>-749000</v>
      </c>
      <c r="U83" s="61"/>
    </row>
    <row r="84" spans="1:21" ht="12.75" hidden="1" customHeight="1" x14ac:dyDescent="0.2">
      <c r="A84" s="99">
        <v>1</v>
      </c>
      <c r="B84" s="99" t="s">
        <v>66</v>
      </c>
      <c r="C84" s="97">
        <v>22</v>
      </c>
      <c r="D84" s="97">
        <v>2204001000</v>
      </c>
      <c r="E84" s="97" t="s">
        <v>305</v>
      </c>
      <c r="F84" s="98" t="s">
        <v>365</v>
      </c>
      <c r="G84" s="97"/>
      <c r="H84" s="96">
        <v>11006880</v>
      </c>
      <c r="I84" s="96">
        <f>SUM(I85:I86)</f>
        <v>5238556</v>
      </c>
      <c r="J84" s="96">
        <f>H84-I84</f>
        <v>5768324</v>
      </c>
      <c r="K84" s="96">
        <f>SUM(K85:K86)</f>
        <v>5238556</v>
      </c>
      <c r="L84" s="96">
        <f>SUM(L85:L86)</f>
        <v>0</v>
      </c>
      <c r="M84" s="96">
        <f t="shared" ref="M84:R84" si="35">SUM(M86:M86)</f>
        <v>0</v>
      </c>
      <c r="N84" s="96">
        <f t="shared" si="35"/>
        <v>0</v>
      </c>
      <c r="O84" s="96">
        <f t="shared" si="35"/>
        <v>5768324</v>
      </c>
      <c r="P84" s="96">
        <f t="shared" si="35"/>
        <v>0</v>
      </c>
      <c r="Q84" s="96">
        <f t="shared" si="35"/>
        <v>0</v>
      </c>
      <c r="R84" s="96">
        <f t="shared" si="35"/>
        <v>0</v>
      </c>
      <c r="S84" s="58">
        <f t="shared" si="26"/>
        <v>11006880</v>
      </c>
      <c r="T84" s="94">
        <f>H84-S84</f>
        <v>0</v>
      </c>
      <c r="U84" s="94"/>
    </row>
    <row r="85" spans="1:21" customFormat="1" ht="15" hidden="1" customHeight="1" x14ac:dyDescent="0.25">
      <c r="A85" s="67">
        <v>1</v>
      </c>
      <c r="B85" s="67" t="s">
        <v>70</v>
      </c>
      <c r="C85" s="66">
        <v>22</v>
      </c>
      <c r="D85" s="66">
        <v>2204001000</v>
      </c>
      <c r="E85" s="66" t="s">
        <v>305</v>
      </c>
      <c r="F85" s="65" t="s">
        <v>365</v>
      </c>
      <c r="G85" s="65" t="s">
        <v>266</v>
      </c>
      <c r="H85" s="64"/>
      <c r="I85" s="63">
        <v>5238556</v>
      </c>
      <c r="J85" s="64"/>
      <c r="K85" s="63">
        <v>5238556</v>
      </c>
      <c r="L85" s="63">
        <f>I85-K85</f>
        <v>0</v>
      </c>
      <c r="M85" s="62"/>
      <c r="N85" s="62"/>
      <c r="O85" s="62"/>
      <c r="P85" s="62"/>
      <c r="Q85" s="62"/>
      <c r="R85" s="62"/>
      <c r="S85" s="61">
        <f t="shared" si="26"/>
        <v>5238556</v>
      </c>
      <c r="T85" s="61">
        <f>I85-S85</f>
        <v>0</v>
      </c>
      <c r="U85" s="61" t="s">
        <v>73</v>
      </c>
    </row>
    <row r="86" spans="1:21" customFormat="1" ht="15" hidden="1" customHeight="1" x14ac:dyDescent="0.25">
      <c r="A86" s="67">
        <v>1</v>
      </c>
      <c r="B86" s="67" t="s">
        <v>70</v>
      </c>
      <c r="C86" s="66">
        <v>22</v>
      </c>
      <c r="D86" s="66">
        <v>2204001000</v>
      </c>
      <c r="E86" s="66" t="s">
        <v>305</v>
      </c>
      <c r="F86" s="65" t="s">
        <v>365</v>
      </c>
      <c r="G86" s="65" t="s">
        <v>67</v>
      </c>
      <c r="H86" s="64"/>
      <c r="I86" s="63"/>
      <c r="J86" s="64"/>
      <c r="K86" s="63"/>
      <c r="L86" s="63">
        <f>I86-K86</f>
        <v>0</v>
      </c>
      <c r="M86" s="62"/>
      <c r="N86" s="62"/>
      <c r="O86" s="62">
        <v>5768324</v>
      </c>
      <c r="P86" s="62"/>
      <c r="Q86" s="62"/>
      <c r="R86" s="62"/>
      <c r="S86" s="61">
        <f t="shared" si="26"/>
        <v>5768324</v>
      </c>
      <c r="T86" s="61">
        <f>I86-S86</f>
        <v>-5768324</v>
      </c>
      <c r="U86" s="61"/>
    </row>
    <row r="87" spans="1:21" ht="12.75" hidden="1" customHeight="1" x14ac:dyDescent="0.2">
      <c r="A87" s="99">
        <v>1</v>
      </c>
      <c r="B87" s="99" t="s">
        <v>66</v>
      </c>
      <c r="C87" s="97">
        <v>22</v>
      </c>
      <c r="D87" s="97">
        <v>2204007000</v>
      </c>
      <c r="E87" s="97" t="s">
        <v>305</v>
      </c>
      <c r="F87" s="98" t="s">
        <v>364</v>
      </c>
      <c r="G87" s="97"/>
      <c r="H87" s="96">
        <v>10455000</v>
      </c>
      <c r="I87" s="96">
        <f>SUM(I88:I89)</f>
        <v>5190971</v>
      </c>
      <c r="J87" s="96">
        <f>H87-I87</f>
        <v>5264029</v>
      </c>
      <c r="K87" s="96">
        <f t="shared" ref="K87:R87" si="36">SUM(K88:K89)</f>
        <v>5190971</v>
      </c>
      <c r="L87" s="96">
        <f t="shared" si="36"/>
        <v>0</v>
      </c>
      <c r="M87" s="96">
        <f t="shared" si="36"/>
        <v>500000</v>
      </c>
      <c r="N87" s="96">
        <f t="shared" si="36"/>
        <v>1500000</v>
      </c>
      <c r="O87" s="96">
        <f t="shared" si="36"/>
        <v>1500000</v>
      </c>
      <c r="P87" s="96">
        <f t="shared" si="36"/>
        <v>1000000</v>
      </c>
      <c r="Q87" s="96">
        <f t="shared" si="36"/>
        <v>764029</v>
      </c>
      <c r="R87" s="96">
        <f t="shared" si="36"/>
        <v>0</v>
      </c>
      <c r="S87" s="58">
        <f t="shared" si="26"/>
        <v>10455000</v>
      </c>
      <c r="T87" s="94">
        <f>H87-S87</f>
        <v>0</v>
      </c>
      <c r="U87" s="94"/>
    </row>
    <row r="88" spans="1:21" customFormat="1" ht="15" hidden="1" customHeight="1" x14ac:dyDescent="0.25">
      <c r="A88" s="67">
        <v>1</v>
      </c>
      <c r="B88" s="67" t="s">
        <v>70</v>
      </c>
      <c r="C88" s="66">
        <v>22</v>
      </c>
      <c r="D88" s="66">
        <v>2204007000</v>
      </c>
      <c r="E88" s="66" t="s">
        <v>305</v>
      </c>
      <c r="F88" s="65" t="s">
        <v>364</v>
      </c>
      <c r="G88" s="65" t="s">
        <v>266</v>
      </c>
      <c r="H88" s="64"/>
      <c r="I88" s="63">
        <v>5190971</v>
      </c>
      <c r="J88" s="64"/>
      <c r="K88" s="63">
        <v>5190971</v>
      </c>
      <c r="L88" s="63">
        <f>I88-K88</f>
        <v>0</v>
      </c>
      <c r="M88" s="62"/>
      <c r="N88" s="62"/>
      <c r="O88" s="62"/>
      <c r="P88" s="62"/>
      <c r="Q88" s="62"/>
      <c r="R88" s="62"/>
      <c r="S88" s="61">
        <f t="shared" si="26"/>
        <v>5190971</v>
      </c>
      <c r="T88" s="61">
        <f>I88-S88</f>
        <v>0</v>
      </c>
      <c r="U88" s="61" t="s">
        <v>73</v>
      </c>
    </row>
    <row r="89" spans="1:21" customFormat="1" ht="15" hidden="1" customHeight="1" x14ac:dyDescent="0.25">
      <c r="A89" s="67">
        <v>1</v>
      </c>
      <c r="B89" s="67" t="s">
        <v>70</v>
      </c>
      <c r="C89" s="66">
        <v>22</v>
      </c>
      <c r="D89" s="66">
        <v>2204007000</v>
      </c>
      <c r="E89" s="66" t="s">
        <v>305</v>
      </c>
      <c r="F89" s="65" t="s">
        <v>364</v>
      </c>
      <c r="G89" s="65" t="s">
        <v>67</v>
      </c>
      <c r="H89" s="64"/>
      <c r="I89" s="63"/>
      <c r="J89" s="64"/>
      <c r="K89" s="63"/>
      <c r="L89" s="63">
        <f>I89-K89</f>
        <v>0</v>
      </c>
      <c r="M89" s="62">
        <v>500000</v>
      </c>
      <c r="N89" s="62">
        <v>1500000</v>
      </c>
      <c r="O89" s="62">
        <v>1500000</v>
      </c>
      <c r="P89" s="62">
        <v>1000000</v>
      </c>
      <c r="Q89" s="62">
        <v>764029</v>
      </c>
      <c r="R89" s="62"/>
      <c r="S89" s="61">
        <f t="shared" si="26"/>
        <v>5264029</v>
      </c>
      <c r="T89" s="61">
        <f>I89-S89</f>
        <v>-5264029</v>
      </c>
      <c r="U89" s="61"/>
    </row>
    <row r="90" spans="1:21" ht="25.5" hidden="1" customHeight="1" x14ac:dyDescent="0.2">
      <c r="A90" s="99">
        <v>1</v>
      </c>
      <c r="B90" s="99" t="s">
        <v>66</v>
      </c>
      <c r="C90" s="97">
        <v>22</v>
      </c>
      <c r="D90" s="97">
        <v>2204008000</v>
      </c>
      <c r="E90" s="97" t="s">
        <v>305</v>
      </c>
      <c r="F90" s="98" t="s">
        <v>363</v>
      </c>
      <c r="G90" s="97"/>
      <c r="H90" s="96">
        <f>1000000-400000</f>
        <v>600000</v>
      </c>
      <c r="I90" s="96">
        <v>0</v>
      </c>
      <c r="J90" s="96">
        <v>600000</v>
      </c>
      <c r="K90" s="96">
        <v>0</v>
      </c>
      <c r="L90" s="96">
        <v>0</v>
      </c>
      <c r="M90" s="96"/>
      <c r="N90" s="96"/>
      <c r="O90" s="96"/>
      <c r="P90" s="96">
        <v>300000</v>
      </c>
      <c r="Q90" s="96"/>
      <c r="R90" s="96">
        <v>300000</v>
      </c>
      <c r="S90" s="57">
        <f t="shared" si="26"/>
        <v>600000</v>
      </c>
      <c r="T90" s="94">
        <f>H90-S90</f>
        <v>0</v>
      </c>
      <c r="U90" s="94"/>
    </row>
    <row r="91" spans="1:21" ht="25.5" hidden="1" customHeight="1" x14ac:dyDescent="0.2">
      <c r="A91" s="99">
        <v>1</v>
      </c>
      <c r="B91" s="99" t="s">
        <v>66</v>
      </c>
      <c r="C91" s="97">
        <v>22</v>
      </c>
      <c r="D91" s="97">
        <v>2204009000</v>
      </c>
      <c r="E91" s="97" t="s">
        <v>305</v>
      </c>
      <c r="F91" s="98" t="s">
        <v>302</v>
      </c>
      <c r="G91" s="97"/>
      <c r="H91" s="96">
        <v>31369400</v>
      </c>
      <c r="I91" s="96">
        <f>SUM(I92:I93)</f>
        <v>14162824</v>
      </c>
      <c r="J91" s="96">
        <f>H91-I91</f>
        <v>17206576</v>
      </c>
      <c r="K91" s="96">
        <f t="shared" ref="K91:R91" si="37">SUM(K92:K93)</f>
        <v>14162824</v>
      </c>
      <c r="L91" s="96">
        <f t="shared" si="37"/>
        <v>0</v>
      </c>
      <c r="M91" s="96">
        <f t="shared" si="37"/>
        <v>0</v>
      </c>
      <c r="N91" s="96">
        <f t="shared" si="37"/>
        <v>8000000</v>
      </c>
      <c r="O91" s="96">
        <f t="shared" si="37"/>
        <v>0</v>
      </c>
      <c r="P91" s="96">
        <f t="shared" si="37"/>
        <v>0</v>
      </c>
      <c r="Q91" s="96">
        <f t="shared" si="37"/>
        <v>9206576</v>
      </c>
      <c r="R91" s="96">
        <f t="shared" si="37"/>
        <v>0</v>
      </c>
      <c r="S91" s="58">
        <f t="shared" si="26"/>
        <v>31369400</v>
      </c>
      <c r="T91" s="94">
        <f>H91-S91</f>
        <v>0</v>
      </c>
      <c r="U91" s="94"/>
    </row>
    <row r="92" spans="1:21" customFormat="1" ht="22.5" hidden="1" customHeight="1" x14ac:dyDescent="0.25">
      <c r="A92" s="67">
        <v>1</v>
      </c>
      <c r="B92" s="67" t="s">
        <v>70</v>
      </c>
      <c r="C92" s="66">
        <v>22</v>
      </c>
      <c r="D92" s="66">
        <v>2204009000</v>
      </c>
      <c r="E92" s="66" t="s">
        <v>305</v>
      </c>
      <c r="F92" s="65" t="s">
        <v>302</v>
      </c>
      <c r="G92" s="65" t="s">
        <v>266</v>
      </c>
      <c r="H92" s="64"/>
      <c r="I92" s="63">
        <v>14162824</v>
      </c>
      <c r="J92" s="64"/>
      <c r="K92" s="63">
        <v>14162824</v>
      </c>
      <c r="L92" s="96">
        <f>I92-K92</f>
        <v>0</v>
      </c>
      <c r="M92" s="62"/>
      <c r="N92" s="62"/>
      <c r="O92" s="62"/>
      <c r="P92" s="62"/>
      <c r="Q92" s="62"/>
      <c r="R92" s="62"/>
      <c r="S92" s="61">
        <f t="shared" si="26"/>
        <v>14162824</v>
      </c>
      <c r="T92" s="61">
        <f>I92-S92</f>
        <v>0</v>
      </c>
      <c r="U92" s="61" t="s">
        <v>73</v>
      </c>
    </row>
    <row r="93" spans="1:21" customFormat="1" ht="22.5" hidden="1" customHeight="1" x14ac:dyDescent="0.25">
      <c r="A93" s="67">
        <v>1</v>
      </c>
      <c r="B93" s="67" t="s">
        <v>70</v>
      </c>
      <c r="C93" s="66">
        <v>22</v>
      </c>
      <c r="D93" s="66">
        <v>2204009000</v>
      </c>
      <c r="E93" s="66" t="s">
        <v>305</v>
      </c>
      <c r="F93" s="65" t="s">
        <v>302</v>
      </c>
      <c r="G93" s="65" t="s">
        <v>67</v>
      </c>
      <c r="H93" s="64"/>
      <c r="I93" s="63"/>
      <c r="J93" s="64"/>
      <c r="K93" s="63"/>
      <c r="L93" s="63">
        <f>I93-K93</f>
        <v>0</v>
      </c>
      <c r="M93" s="62"/>
      <c r="N93" s="81">
        <v>8000000</v>
      </c>
      <c r="O93" s="62"/>
      <c r="P93" s="62"/>
      <c r="Q93" s="62">
        <v>9206576</v>
      </c>
      <c r="R93" s="62"/>
      <c r="S93" s="61">
        <f t="shared" si="26"/>
        <v>17206576</v>
      </c>
      <c r="T93" s="61">
        <f>I93-S93</f>
        <v>-17206576</v>
      </c>
      <c r="U93" s="61"/>
    </row>
    <row r="94" spans="1:21" ht="25.5" hidden="1" customHeight="1" x14ac:dyDescent="0.2">
      <c r="A94" s="99">
        <v>1</v>
      </c>
      <c r="B94" s="99" t="s">
        <v>66</v>
      </c>
      <c r="C94" s="97">
        <v>22</v>
      </c>
      <c r="D94" s="97">
        <v>2204010000</v>
      </c>
      <c r="E94" s="97" t="s">
        <v>305</v>
      </c>
      <c r="F94" s="98" t="s">
        <v>362</v>
      </c>
      <c r="G94" s="97"/>
      <c r="H94" s="96">
        <v>2300000</v>
      </c>
      <c r="I94" s="96">
        <v>0</v>
      </c>
      <c r="J94" s="96">
        <v>2300000</v>
      </c>
      <c r="K94" s="96">
        <v>0</v>
      </c>
      <c r="L94" s="96">
        <v>0</v>
      </c>
      <c r="M94" s="96"/>
      <c r="N94" s="96"/>
      <c r="O94" s="96">
        <v>2300000</v>
      </c>
      <c r="P94" s="96"/>
      <c r="Q94" s="96"/>
      <c r="R94" s="96"/>
      <c r="S94" s="57">
        <f t="shared" ref="S94:S125" si="38">SUM(K94:R94)-L94</f>
        <v>2300000</v>
      </c>
      <c r="T94" s="94">
        <f>H94-S94</f>
        <v>0</v>
      </c>
      <c r="U94" s="94"/>
    </row>
    <row r="95" spans="1:21" ht="25.5" hidden="1" customHeight="1" x14ac:dyDescent="0.2">
      <c r="A95" s="99">
        <v>1</v>
      </c>
      <c r="B95" s="99" t="s">
        <v>66</v>
      </c>
      <c r="C95" s="97">
        <v>22</v>
      </c>
      <c r="D95" s="97">
        <v>2204011000</v>
      </c>
      <c r="E95" s="97" t="s">
        <v>305</v>
      </c>
      <c r="F95" s="98" t="s">
        <v>360</v>
      </c>
      <c r="G95" s="97"/>
      <c r="H95" s="96">
        <v>2000000</v>
      </c>
      <c r="I95" s="96">
        <f>SUM(I96:I97)</f>
        <v>608004</v>
      </c>
      <c r="J95" s="96">
        <f>H95-I95</f>
        <v>1391996</v>
      </c>
      <c r="K95" s="96">
        <f t="shared" ref="K95:R95" si="39">SUM(K96:K97)</f>
        <v>608004</v>
      </c>
      <c r="L95" s="96">
        <f t="shared" si="39"/>
        <v>0</v>
      </c>
      <c r="M95" s="96">
        <f t="shared" si="39"/>
        <v>0</v>
      </c>
      <c r="N95" s="96">
        <f t="shared" si="39"/>
        <v>0</v>
      </c>
      <c r="O95" s="96">
        <f t="shared" si="39"/>
        <v>0</v>
      </c>
      <c r="P95" s="96">
        <f t="shared" si="39"/>
        <v>1391996</v>
      </c>
      <c r="Q95" s="96">
        <f t="shared" si="39"/>
        <v>0</v>
      </c>
      <c r="R95" s="96">
        <f t="shared" si="39"/>
        <v>0</v>
      </c>
      <c r="S95" s="57">
        <f t="shared" si="38"/>
        <v>2000000</v>
      </c>
      <c r="T95" s="94">
        <f>H95-S95</f>
        <v>0</v>
      </c>
      <c r="U95" s="94"/>
    </row>
    <row r="96" spans="1:21" customFormat="1" ht="22.5" hidden="1" customHeight="1" x14ac:dyDescent="0.25">
      <c r="A96" s="67">
        <v>1</v>
      </c>
      <c r="B96" s="67" t="s">
        <v>70</v>
      </c>
      <c r="C96" s="66">
        <v>22</v>
      </c>
      <c r="D96" s="66">
        <v>2204011000</v>
      </c>
      <c r="E96" s="66" t="s">
        <v>305</v>
      </c>
      <c r="F96" s="65" t="s">
        <v>360</v>
      </c>
      <c r="G96" s="65" t="s">
        <v>361</v>
      </c>
      <c r="H96" s="64"/>
      <c r="I96" s="63">
        <v>608004</v>
      </c>
      <c r="J96" s="64"/>
      <c r="K96" s="63">
        <v>608004</v>
      </c>
      <c r="L96" s="96">
        <f>I96-K96</f>
        <v>0</v>
      </c>
      <c r="M96" s="62"/>
      <c r="N96" s="62"/>
      <c r="O96" s="62"/>
      <c r="P96" s="62"/>
      <c r="Q96" s="62"/>
      <c r="R96" s="62"/>
      <c r="S96" s="61">
        <f t="shared" si="38"/>
        <v>608004</v>
      </c>
      <c r="T96" s="61">
        <f>I96-S96</f>
        <v>0</v>
      </c>
      <c r="U96" s="61" t="s">
        <v>73</v>
      </c>
    </row>
    <row r="97" spans="1:21" customFormat="1" ht="22.5" hidden="1" customHeight="1" x14ac:dyDescent="0.25">
      <c r="A97" s="67">
        <v>1</v>
      </c>
      <c r="B97" s="67" t="s">
        <v>70</v>
      </c>
      <c r="C97" s="66">
        <v>22</v>
      </c>
      <c r="D97" s="66">
        <v>2204011000</v>
      </c>
      <c r="E97" s="66" t="s">
        <v>305</v>
      </c>
      <c r="F97" s="65" t="s">
        <v>360</v>
      </c>
      <c r="G97" s="65" t="s">
        <v>67</v>
      </c>
      <c r="H97" s="64"/>
      <c r="I97" s="63"/>
      <c r="J97" s="64"/>
      <c r="K97" s="63"/>
      <c r="L97" s="96">
        <f>I97-K97</f>
        <v>0</v>
      </c>
      <c r="M97" s="62"/>
      <c r="N97" s="62"/>
      <c r="O97" s="62"/>
      <c r="P97" s="62">
        <v>1391996</v>
      </c>
      <c r="Q97" s="62"/>
      <c r="R97" s="62"/>
      <c r="S97" s="61">
        <f t="shared" si="38"/>
        <v>1391996</v>
      </c>
      <c r="T97" s="61">
        <f>I97-S97</f>
        <v>-1391996</v>
      </c>
      <c r="U97" s="61"/>
    </row>
    <row r="98" spans="1:21" ht="25.5" hidden="1" customHeight="1" x14ac:dyDescent="0.2">
      <c r="A98" s="99">
        <v>1</v>
      </c>
      <c r="B98" s="99" t="s">
        <v>66</v>
      </c>
      <c r="C98" s="97">
        <v>22</v>
      </c>
      <c r="D98" s="97">
        <v>2204012000</v>
      </c>
      <c r="E98" s="97" t="s">
        <v>305</v>
      </c>
      <c r="F98" s="98" t="s">
        <v>359</v>
      </c>
      <c r="G98" s="97"/>
      <c r="H98" s="96">
        <v>1045000</v>
      </c>
      <c r="I98" s="96">
        <f>SUM(I99:I100)</f>
        <v>45000</v>
      </c>
      <c r="J98" s="96">
        <f>H98-I98</f>
        <v>1000000</v>
      </c>
      <c r="K98" s="96">
        <f t="shared" ref="K98:R98" si="40">SUM(K99:K100)</f>
        <v>45000</v>
      </c>
      <c r="L98" s="96">
        <f t="shared" si="40"/>
        <v>0</v>
      </c>
      <c r="M98" s="96">
        <f t="shared" si="40"/>
        <v>0</v>
      </c>
      <c r="N98" s="96">
        <f t="shared" si="40"/>
        <v>250000</v>
      </c>
      <c r="O98" s="96">
        <f t="shared" si="40"/>
        <v>250000</v>
      </c>
      <c r="P98" s="96">
        <f t="shared" si="40"/>
        <v>500000</v>
      </c>
      <c r="Q98" s="96">
        <f t="shared" si="40"/>
        <v>0</v>
      </c>
      <c r="R98" s="96">
        <f t="shared" si="40"/>
        <v>0</v>
      </c>
      <c r="S98" s="57">
        <f t="shared" si="38"/>
        <v>1045000</v>
      </c>
      <c r="T98" s="94">
        <f>H98-S98</f>
        <v>0</v>
      </c>
      <c r="U98" s="94"/>
    </row>
    <row r="99" spans="1:21" customFormat="1" ht="22.5" hidden="1" customHeight="1" x14ac:dyDescent="0.25">
      <c r="A99" s="67">
        <v>1</v>
      </c>
      <c r="B99" s="67" t="s">
        <v>70</v>
      </c>
      <c r="C99" s="66">
        <v>22</v>
      </c>
      <c r="D99" s="66">
        <v>2204012000</v>
      </c>
      <c r="E99" s="66" t="s">
        <v>305</v>
      </c>
      <c r="F99" s="65" t="s">
        <v>359</v>
      </c>
      <c r="G99" s="65" t="s">
        <v>266</v>
      </c>
      <c r="H99" s="64"/>
      <c r="I99" s="63">
        <v>45000</v>
      </c>
      <c r="J99" s="64"/>
      <c r="K99" s="63">
        <v>45000</v>
      </c>
      <c r="L99" s="63">
        <f>I99-K99</f>
        <v>0</v>
      </c>
      <c r="M99" s="62"/>
      <c r="N99" s="62"/>
      <c r="O99" s="62"/>
      <c r="P99" s="62"/>
      <c r="Q99" s="62"/>
      <c r="R99" s="62"/>
      <c r="S99" s="61">
        <f t="shared" si="38"/>
        <v>45000</v>
      </c>
      <c r="T99" s="61">
        <f>I99-S99</f>
        <v>0</v>
      </c>
      <c r="U99" s="61" t="s">
        <v>73</v>
      </c>
    </row>
    <row r="100" spans="1:21" customFormat="1" ht="22.5" hidden="1" customHeight="1" x14ac:dyDescent="0.25">
      <c r="A100" s="67">
        <v>1</v>
      </c>
      <c r="B100" s="67" t="s">
        <v>70</v>
      </c>
      <c r="C100" s="66">
        <v>22</v>
      </c>
      <c r="D100" s="66">
        <v>2204012000</v>
      </c>
      <c r="E100" s="66" t="s">
        <v>305</v>
      </c>
      <c r="F100" s="65" t="s">
        <v>359</v>
      </c>
      <c r="G100" s="65" t="s">
        <v>350</v>
      </c>
      <c r="H100" s="64"/>
      <c r="I100" s="63"/>
      <c r="J100" s="64"/>
      <c r="K100" s="63"/>
      <c r="L100" s="63">
        <f>I100-K100</f>
        <v>0</v>
      </c>
      <c r="M100" s="62"/>
      <c r="N100" s="62">
        <v>250000</v>
      </c>
      <c r="O100" s="62">
        <v>250000</v>
      </c>
      <c r="P100" s="62">
        <v>500000</v>
      </c>
      <c r="Q100" s="62"/>
      <c r="R100" s="62"/>
      <c r="S100" s="61">
        <f t="shared" si="38"/>
        <v>1000000</v>
      </c>
      <c r="T100" s="61">
        <f>I100-S100</f>
        <v>-1000000</v>
      </c>
      <c r="U100" s="61"/>
    </row>
    <row r="101" spans="1:21" ht="12.75" hidden="1" customHeight="1" x14ac:dyDescent="0.2">
      <c r="A101" s="99">
        <v>1</v>
      </c>
      <c r="B101" s="99" t="s">
        <v>66</v>
      </c>
      <c r="C101" s="97">
        <v>22</v>
      </c>
      <c r="D101" s="97">
        <v>2204013000</v>
      </c>
      <c r="E101" s="97" t="s">
        <v>305</v>
      </c>
      <c r="F101" s="98" t="s">
        <v>358</v>
      </c>
      <c r="G101" s="97"/>
      <c r="H101" s="96">
        <f>500000+200000</f>
        <v>700000</v>
      </c>
      <c r="I101" s="96">
        <f>SUM(I102:I103)</f>
        <v>526618</v>
      </c>
      <c r="J101" s="96">
        <f>H101-I101</f>
        <v>173382</v>
      </c>
      <c r="K101" s="96">
        <f t="shared" ref="K101:R101" si="41">SUM(K102:K103)</f>
        <v>526618</v>
      </c>
      <c r="L101" s="96">
        <f t="shared" si="41"/>
        <v>0</v>
      </c>
      <c r="M101" s="96">
        <f t="shared" si="41"/>
        <v>0</v>
      </c>
      <c r="N101" s="96">
        <f t="shared" si="41"/>
        <v>173382</v>
      </c>
      <c r="O101" s="96">
        <f t="shared" si="41"/>
        <v>0</v>
      </c>
      <c r="P101" s="96">
        <f t="shared" si="41"/>
        <v>0</v>
      </c>
      <c r="Q101" s="96">
        <f t="shared" si="41"/>
        <v>0</v>
      </c>
      <c r="R101" s="96">
        <f t="shared" si="41"/>
        <v>0</v>
      </c>
      <c r="S101" s="58">
        <f t="shared" si="38"/>
        <v>700000</v>
      </c>
      <c r="T101" s="94">
        <f>H101-S101</f>
        <v>0</v>
      </c>
      <c r="U101" s="94"/>
    </row>
    <row r="102" spans="1:21" customFormat="1" ht="15" hidden="1" customHeight="1" x14ac:dyDescent="0.25">
      <c r="A102" s="67">
        <v>1</v>
      </c>
      <c r="B102" s="67" t="s">
        <v>70</v>
      </c>
      <c r="C102" s="66">
        <v>22</v>
      </c>
      <c r="D102" s="66">
        <v>2204013000</v>
      </c>
      <c r="E102" s="66" t="s">
        <v>305</v>
      </c>
      <c r="F102" s="65" t="s">
        <v>358</v>
      </c>
      <c r="G102" s="65" t="s">
        <v>266</v>
      </c>
      <c r="H102" s="64"/>
      <c r="I102" s="63">
        <v>526618</v>
      </c>
      <c r="J102" s="64"/>
      <c r="K102" s="63">
        <v>526618</v>
      </c>
      <c r="L102" s="63">
        <f>I102-K102</f>
        <v>0</v>
      </c>
      <c r="M102" s="62"/>
      <c r="N102" s="62"/>
      <c r="O102" s="62"/>
      <c r="P102" s="62"/>
      <c r="Q102" s="62"/>
      <c r="R102" s="62"/>
      <c r="S102" s="61">
        <f t="shared" si="38"/>
        <v>526618</v>
      </c>
      <c r="T102" s="61">
        <f>I102-S102</f>
        <v>0</v>
      </c>
      <c r="U102" s="61" t="s">
        <v>73</v>
      </c>
    </row>
    <row r="103" spans="1:21" customFormat="1" ht="15" hidden="1" customHeight="1" x14ac:dyDescent="0.25">
      <c r="A103" s="67">
        <v>1</v>
      </c>
      <c r="B103" s="67" t="s">
        <v>70</v>
      </c>
      <c r="C103" s="66">
        <v>22</v>
      </c>
      <c r="D103" s="66">
        <v>2204013000</v>
      </c>
      <c r="E103" s="66" t="s">
        <v>305</v>
      </c>
      <c r="F103" s="65" t="s">
        <v>358</v>
      </c>
      <c r="G103" s="65" t="s">
        <v>67</v>
      </c>
      <c r="H103" s="64"/>
      <c r="I103" s="63"/>
      <c r="J103" s="64"/>
      <c r="K103" s="63"/>
      <c r="L103" s="63">
        <f>I103-K103</f>
        <v>0</v>
      </c>
      <c r="M103" s="62"/>
      <c r="N103" s="62">
        <f>J101</f>
        <v>173382</v>
      </c>
      <c r="O103" s="62"/>
      <c r="P103" s="62"/>
      <c r="Q103" s="62"/>
      <c r="R103" s="62"/>
      <c r="S103" s="61">
        <f t="shared" si="38"/>
        <v>173382</v>
      </c>
      <c r="T103" s="61">
        <f>I103-S103</f>
        <v>-173382</v>
      </c>
      <c r="U103" s="61"/>
    </row>
    <row r="104" spans="1:21" ht="12.75" hidden="1" customHeight="1" x14ac:dyDescent="0.2">
      <c r="A104" s="99">
        <v>1</v>
      </c>
      <c r="B104" s="99" t="s">
        <v>66</v>
      </c>
      <c r="C104" s="97">
        <v>22</v>
      </c>
      <c r="D104" s="97">
        <v>2204999000</v>
      </c>
      <c r="E104" s="97" t="s">
        <v>305</v>
      </c>
      <c r="F104" s="98" t="s">
        <v>36</v>
      </c>
      <c r="G104" s="97"/>
      <c r="H104" s="96">
        <v>13169156</v>
      </c>
      <c r="I104" s="96">
        <f>SUM(I105:I106)</f>
        <v>10566570</v>
      </c>
      <c r="J104" s="96">
        <f>H104-I104</f>
        <v>2602586</v>
      </c>
      <c r="K104" s="96">
        <f t="shared" ref="K104:R104" si="42">SUM(K105:K106)</f>
        <v>10566570</v>
      </c>
      <c r="L104" s="96">
        <f t="shared" si="42"/>
        <v>0</v>
      </c>
      <c r="M104" s="96">
        <f t="shared" si="42"/>
        <v>200000</v>
      </c>
      <c r="N104" s="96">
        <f t="shared" si="42"/>
        <v>500000</v>
      </c>
      <c r="O104" s="96">
        <f t="shared" si="42"/>
        <v>500000</v>
      </c>
      <c r="P104" s="96">
        <f t="shared" si="42"/>
        <v>300000</v>
      </c>
      <c r="Q104" s="96">
        <f t="shared" si="42"/>
        <v>500000</v>
      </c>
      <c r="R104" s="96">
        <f t="shared" si="42"/>
        <v>602586</v>
      </c>
      <c r="S104" s="58">
        <f t="shared" si="38"/>
        <v>13169156</v>
      </c>
      <c r="T104" s="94">
        <f>H104-S104</f>
        <v>0</v>
      </c>
      <c r="U104" s="94"/>
    </row>
    <row r="105" spans="1:21" customFormat="1" ht="15" hidden="1" customHeight="1" x14ac:dyDescent="0.25">
      <c r="A105" s="67">
        <v>1</v>
      </c>
      <c r="B105" s="67" t="s">
        <v>70</v>
      </c>
      <c r="C105" s="66">
        <v>22</v>
      </c>
      <c r="D105" s="66">
        <v>2204999000</v>
      </c>
      <c r="E105" s="66" t="s">
        <v>305</v>
      </c>
      <c r="F105" s="65" t="s">
        <v>36</v>
      </c>
      <c r="G105" s="65" t="s">
        <v>266</v>
      </c>
      <c r="H105" s="64"/>
      <c r="I105" s="63">
        <v>10566570</v>
      </c>
      <c r="J105" s="64"/>
      <c r="K105" s="63">
        <v>10566570</v>
      </c>
      <c r="L105" s="63">
        <f>I105-K105</f>
        <v>0</v>
      </c>
      <c r="M105" s="62"/>
      <c r="N105" s="62"/>
      <c r="O105" s="62"/>
      <c r="P105" s="62"/>
      <c r="Q105" s="62"/>
      <c r="R105" s="62"/>
      <c r="S105" s="61">
        <f t="shared" si="38"/>
        <v>10566570</v>
      </c>
      <c r="T105" s="61">
        <f>I105-S105</f>
        <v>0</v>
      </c>
      <c r="U105" s="61" t="s">
        <v>73</v>
      </c>
    </row>
    <row r="106" spans="1:21" customFormat="1" ht="15" hidden="1" customHeight="1" x14ac:dyDescent="0.25">
      <c r="A106" s="67">
        <v>1</v>
      </c>
      <c r="B106" s="67" t="s">
        <v>70</v>
      </c>
      <c r="C106" s="66">
        <v>22</v>
      </c>
      <c r="D106" s="66">
        <v>2204999000</v>
      </c>
      <c r="E106" s="66" t="s">
        <v>305</v>
      </c>
      <c r="F106" s="65" t="s">
        <v>36</v>
      </c>
      <c r="G106" s="65" t="s">
        <v>67</v>
      </c>
      <c r="H106" s="64"/>
      <c r="I106" s="63"/>
      <c r="J106" s="64"/>
      <c r="K106" s="63"/>
      <c r="L106" s="63">
        <f>I106-K106</f>
        <v>0</v>
      </c>
      <c r="M106" s="62">
        <v>200000</v>
      </c>
      <c r="N106" s="62">
        <v>500000</v>
      </c>
      <c r="O106" s="62">
        <v>500000</v>
      </c>
      <c r="P106" s="62">
        <v>300000</v>
      </c>
      <c r="Q106" s="62">
        <v>500000</v>
      </c>
      <c r="R106" s="62">
        <v>602586</v>
      </c>
      <c r="S106" s="61">
        <f t="shared" si="38"/>
        <v>2602586</v>
      </c>
      <c r="T106" s="61">
        <f>I106-S106</f>
        <v>-2602586</v>
      </c>
      <c r="U106" s="61"/>
    </row>
    <row r="107" spans="1:21" ht="12.75" hidden="1" customHeight="1" x14ac:dyDescent="0.2">
      <c r="A107" s="99">
        <v>1</v>
      </c>
      <c r="B107" s="99" t="s">
        <v>66</v>
      </c>
      <c r="C107" s="97">
        <v>22</v>
      </c>
      <c r="D107" s="97">
        <v>2205004000</v>
      </c>
      <c r="E107" s="97" t="s">
        <v>305</v>
      </c>
      <c r="F107" s="98" t="s">
        <v>356</v>
      </c>
      <c r="G107" s="97"/>
      <c r="H107" s="96">
        <f>70000000-10000000</f>
        <v>60000000</v>
      </c>
      <c r="I107" s="96">
        <f t="shared" ref="I107:R107" si="43">SUM(I108:I109)</f>
        <v>60000000</v>
      </c>
      <c r="J107" s="96">
        <f t="shared" si="43"/>
        <v>0</v>
      </c>
      <c r="K107" s="96">
        <f t="shared" si="43"/>
        <v>24570426</v>
      </c>
      <c r="L107" s="96">
        <f t="shared" si="43"/>
        <v>35429574</v>
      </c>
      <c r="M107" s="96">
        <f t="shared" si="43"/>
        <v>0</v>
      </c>
      <c r="N107" s="96">
        <f t="shared" si="43"/>
        <v>5000000</v>
      </c>
      <c r="O107" s="96">
        <f t="shared" si="43"/>
        <v>5000000</v>
      </c>
      <c r="P107" s="96">
        <f t="shared" si="43"/>
        <v>5000000</v>
      </c>
      <c r="Q107" s="96">
        <f t="shared" si="43"/>
        <v>5000000</v>
      </c>
      <c r="R107" s="96">
        <f t="shared" si="43"/>
        <v>15429574</v>
      </c>
      <c r="S107" s="58">
        <f t="shared" si="38"/>
        <v>60000000</v>
      </c>
      <c r="T107" s="94">
        <f>H107-S107</f>
        <v>0</v>
      </c>
      <c r="U107" s="94"/>
    </row>
    <row r="108" spans="1:21" customFormat="1" ht="22.5" hidden="1" customHeight="1" x14ac:dyDescent="0.25">
      <c r="A108" s="67">
        <v>1</v>
      </c>
      <c r="B108" s="67" t="s">
        <v>70</v>
      </c>
      <c r="C108" s="66">
        <v>22</v>
      </c>
      <c r="D108" s="66">
        <v>2205004000</v>
      </c>
      <c r="E108" s="66" t="s">
        <v>305</v>
      </c>
      <c r="F108" s="65" t="s">
        <v>356</v>
      </c>
      <c r="G108" s="65" t="s">
        <v>357</v>
      </c>
      <c r="H108" s="64"/>
      <c r="I108" s="63">
        <v>55000000</v>
      </c>
      <c r="J108" s="64"/>
      <c r="K108" s="63">
        <v>22593414</v>
      </c>
      <c r="L108" s="63">
        <f>I108-K108</f>
        <v>32406586</v>
      </c>
      <c r="M108" s="62"/>
      <c r="N108" s="62">
        <v>4600000</v>
      </c>
      <c r="O108" s="62">
        <v>4600000</v>
      </c>
      <c r="P108" s="62">
        <v>4600000</v>
      </c>
      <c r="Q108" s="62">
        <v>4600000</v>
      </c>
      <c r="R108" s="62">
        <v>14006586</v>
      </c>
      <c r="S108" s="61">
        <f t="shared" si="38"/>
        <v>55000000</v>
      </c>
      <c r="T108" s="61">
        <f>I108-S108</f>
        <v>0</v>
      </c>
      <c r="U108" s="61"/>
    </row>
    <row r="109" spans="1:21" customFormat="1" ht="22.5" hidden="1" customHeight="1" x14ac:dyDescent="0.25">
      <c r="A109" s="67">
        <v>1</v>
      </c>
      <c r="B109" s="67" t="s">
        <v>70</v>
      </c>
      <c r="C109" s="66">
        <v>22</v>
      </c>
      <c r="D109" s="66">
        <v>2205004000</v>
      </c>
      <c r="E109" s="66" t="s">
        <v>305</v>
      </c>
      <c r="F109" s="65" t="s">
        <v>356</v>
      </c>
      <c r="G109" s="65" t="s">
        <v>355</v>
      </c>
      <c r="H109" s="64"/>
      <c r="I109" s="63">
        <v>5000000</v>
      </c>
      <c r="J109" s="64"/>
      <c r="K109" s="63">
        <v>1977012</v>
      </c>
      <c r="L109" s="63">
        <f>I109-K109</f>
        <v>3022988</v>
      </c>
      <c r="M109" s="62"/>
      <c r="N109" s="62">
        <v>400000</v>
      </c>
      <c r="O109" s="62">
        <v>400000</v>
      </c>
      <c r="P109" s="62">
        <v>400000</v>
      </c>
      <c r="Q109" s="62">
        <v>400000</v>
      </c>
      <c r="R109" s="62">
        <v>1422988</v>
      </c>
      <c r="S109" s="61">
        <f t="shared" si="38"/>
        <v>5000000</v>
      </c>
      <c r="T109" s="61">
        <f>I109-S109</f>
        <v>0</v>
      </c>
      <c r="U109" s="61"/>
    </row>
    <row r="110" spans="1:21" ht="25.5" hidden="1" customHeight="1" x14ac:dyDescent="0.2">
      <c r="A110" s="99">
        <v>1</v>
      </c>
      <c r="B110" s="99" t="s">
        <v>66</v>
      </c>
      <c r="C110" s="97">
        <v>22</v>
      </c>
      <c r="D110" s="97">
        <v>2206001000</v>
      </c>
      <c r="E110" s="97" t="s">
        <v>305</v>
      </c>
      <c r="F110" s="98" t="s">
        <v>351</v>
      </c>
      <c r="G110" s="97"/>
      <c r="H110" s="96">
        <f>31000000-5752767</f>
        <v>25247233</v>
      </c>
      <c r="I110" s="96">
        <f>SUM(I111:I114)</f>
        <v>15247233</v>
      </c>
      <c r="J110" s="96">
        <f>H110-I110</f>
        <v>10000000</v>
      </c>
      <c r="K110" s="96">
        <f>SUM(K111:K114)</f>
        <v>5735365</v>
      </c>
      <c r="L110" s="96">
        <f>SUM(L111:L114)</f>
        <v>9511868</v>
      </c>
      <c r="M110" s="96">
        <f t="shared" ref="M110:R110" si="44">SUM(M112:M114)</f>
        <v>0</v>
      </c>
      <c r="N110" s="96">
        <f t="shared" si="44"/>
        <v>600000</v>
      </c>
      <c r="O110" s="96">
        <f t="shared" si="44"/>
        <v>1600000</v>
      </c>
      <c r="P110" s="96">
        <f t="shared" si="44"/>
        <v>2311868</v>
      </c>
      <c r="Q110" s="96">
        <f t="shared" si="44"/>
        <v>10000000</v>
      </c>
      <c r="R110" s="96">
        <f t="shared" si="44"/>
        <v>5000000</v>
      </c>
      <c r="S110" s="58">
        <f t="shared" si="38"/>
        <v>25247233</v>
      </c>
      <c r="T110" s="94">
        <f>H110-S110</f>
        <v>0</v>
      </c>
      <c r="U110" s="94"/>
    </row>
    <row r="111" spans="1:21" customFormat="1" ht="22.5" hidden="1" customHeight="1" x14ac:dyDescent="0.25">
      <c r="A111" s="67">
        <v>1</v>
      </c>
      <c r="B111" s="67" t="s">
        <v>70</v>
      </c>
      <c r="C111" s="66">
        <v>22</v>
      </c>
      <c r="D111" s="66">
        <v>2206001000</v>
      </c>
      <c r="E111" s="66" t="s">
        <v>305</v>
      </c>
      <c r="F111" s="65" t="s">
        <v>351</v>
      </c>
      <c r="G111" s="65" t="s">
        <v>354</v>
      </c>
      <c r="H111" s="64"/>
      <c r="I111" s="63">
        <v>247233</v>
      </c>
      <c r="J111" s="64"/>
      <c r="K111" s="63">
        <v>247233</v>
      </c>
      <c r="L111" s="63">
        <f>I111-K111</f>
        <v>0</v>
      </c>
      <c r="M111" s="62"/>
      <c r="N111" s="62"/>
      <c r="O111" s="62"/>
      <c r="P111" s="62"/>
      <c r="Q111" s="62"/>
      <c r="R111" s="62"/>
      <c r="S111" s="61">
        <f t="shared" si="38"/>
        <v>247233</v>
      </c>
      <c r="T111" s="61">
        <f>I111-S111</f>
        <v>0</v>
      </c>
      <c r="U111" s="61" t="s">
        <v>73</v>
      </c>
    </row>
    <row r="112" spans="1:21" customFormat="1" ht="56.25" hidden="1" customHeight="1" x14ac:dyDescent="0.25">
      <c r="A112" s="67">
        <v>1</v>
      </c>
      <c r="B112" s="67" t="s">
        <v>70</v>
      </c>
      <c r="C112" s="66">
        <v>22</v>
      </c>
      <c r="D112" s="66">
        <v>2206001000</v>
      </c>
      <c r="E112" s="66" t="s">
        <v>305</v>
      </c>
      <c r="F112" s="65" t="s">
        <v>351</v>
      </c>
      <c r="G112" s="65" t="s">
        <v>353</v>
      </c>
      <c r="H112" s="64"/>
      <c r="I112" s="63">
        <v>10000000</v>
      </c>
      <c r="J112" s="64"/>
      <c r="K112" s="63">
        <v>5488132</v>
      </c>
      <c r="L112" s="63">
        <f>I112-K112</f>
        <v>4511868</v>
      </c>
      <c r="M112" s="81"/>
      <c r="N112" s="81">
        <v>600000</v>
      </c>
      <c r="O112" s="81">
        <v>1600000</v>
      </c>
      <c r="P112" s="81">
        <v>2311868</v>
      </c>
      <c r="Q112" s="62"/>
      <c r="R112" s="62"/>
      <c r="S112" s="61">
        <f t="shared" si="38"/>
        <v>10000000</v>
      </c>
      <c r="T112" s="61">
        <f>I112-S112</f>
        <v>0</v>
      </c>
      <c r="U112" s="61"/>
    </row>
    <row r="113" spans="1:21" customFormat="1" ht="45" hidden="1" customHeight="1" x14ac:dyDescent="0.25">
      <c r="A113" s="67">
        <v>1</v>
      </c>
      <c r="B113" s="67" t="s">
        <v>70</v>
      </c>
      <c r="C113" s="66">
        <v>22</v>
      </c>
      <c r="D113" s="66">
        <v>2206001000</v>
      </c>
      <c r="E113" s="66" t="s">
        <v>305</v>
      </c>
      <c r="F113" s="65" t="s">
        <v>351</v>
      </c>
      <c r="G113" s="65" t="s">
        <v>352</v>
      </c>
      <c r="H113" s="64"/>
      <c r="I113" s="63">
        <v>5000000</v>
      </c>
      <c r="J113" s="64"/>
      <c r="K113" s="63"/>
      <c r="L113" s="63">
        <f>I113-K113</f>
        <v>5000000</v>
      </c>
      <c r="M113" s="62"/>
      <c r="N113" s="62"/>
      <c r="O113" s="62"/>
      <c r="P113" s="62"/>
      <c r="Q113" s="62"/>
      <c r="R113" s="62">
        <v>5000000</v>
      </c>
      <c r="S113" s="61">
        <f t="shared" si="38"/>
        <v>5000000</v>
      </c>
      <c r="T113" s="61">
        <f>I113-S113</f>
        <v>0</v>
      </c>
      <c r="U113" s="61"/>
    </row>
    <row r="114" spans="1:21" customFormat="1" ht="45" hidden="1" customHeight="1" x14ac:dyDescent="0.25">
      <c r="A114" s="67">
        <v>1</v>
      </c>
      <c r="B114" s="67" t="s">
        <v>70</v>
      </c>
      <c r="C114" s="66">
        <v>22</v>
      </c>
      <c r="D114" s="66">
        <v>2206001000</v>
      </c>
      <c r="E114" s="66" t="s">
        <v>305</v>
      </c>
      <c r="F114" s="65" t="s">
        <v>351</v>
      </c>
      <c r="G114" s="65" t="s">
        <v>350</v>
      </c>
      <c r="H114" s="64"/>
      <c r="I114" s="63"/>
      <c r="J114" s="64"/>
      <c r="K114" s="63"/>
      <c r="L114" s="63">
        <f>I114-K114</f>
        <v>0</v>
      </c>
      <c r="M114" s="62"/>
      <c r="N114" s="62"/>
      <c r="O114" s="62"/>
      <c r="P114" s="62"/>
      <c r="Q114" s="62">
        <v>10000000</v>
      </c>
      <c r="R114" s="62"/>
      <c r="S114" s="61">
        <f t="shared" si="38"/>
        <v>10000000</v>
      </c>
      <c r="T114" s="61">
        <f>I114-S114</f>
        <v>-10000000</v>
      </c>
      <c r="U114" s="61"/>
    </row>
    <row r="115" spans="1:21" ht="25.5" hidden="1" customHeight="1" x14ac:dyDescent="0.2">
      <c r="A115" s="99">
        <v>1</v>
      </c>
      <c r="B115" s="99" t="s">
        <v>66</v>
      </c>
      <c r="C115" s="97">
        <v>22</v>
      </c>
      <c r="D115" s="97">
        <v>2206002000</v>
      </c>
      <c r="E115" s="97" t="s">
        <v>305</v>
      </c>
      <c r="F115" s="98" t="s">
        <v>347</v>
      </c>
      <c r="G115" s="97"/>
      <c r="H115" s="96">
        <v>15275375</v>
      </c>
      <c r="I115" s="96">
        <f>SUM(I116:I118)</f>
        <v>15275375</v>
      </c>
      <c r="J115" s="96">
        <f>H115-I115</f>
        <v>0</v>
      </c>
      <c r="K115" s="96">
        <f t="shared" ref="K115:R115" si="45">SUM(K116:K118)</f>
        <v>3569812</v>
      </c>
      <c r="L115" s="96">
        <f t="shared" si="45"/>
        <v>11705563</v>
      </c>
      <c r="M115" s="96">
        <f t="shared" si="45"/>
        <v>261316</v>
      </c>
      <c r="N115" s="96">
        <f t="shared" si="45"/>
        <v>0</v>
      </c>
      <c r="O115" s="96">
        <f t="shared" si="45"/>
        <v>0</v>
      </c>
      <c r="P115" s="96">
        <f t="shared" si="45"/>
        <v>0</v>
      </c>
      <c r="Q115" s="96">
        <f t="shared" si="45"/>
        <v>11444247</v>
      </c>
      <c r="R115" s="96">
        <f t="shared" si="45"/>
        <v>0</v>
      </c>
      <c r="S115" s="58">
        <f t="shared" si="38"/>
        <v>15275375</v>
      </c>
      <c r="T115" s="94">
        <f>H115-S115</f>
        <v>0</v>
      </c>
      <c r="U115" s="94"/>
    </row>
    <row r="116" spans="1:21" customFormat="1" ht="45" hidden="1" customHeight="1" x14ac:dyDescent="0.25">
      <c r="A116" s="67">
        <v>1</v>
      </c>
      <c r="B116" s="67" t="s">
        <v>70</v>
      </c>
      <c r="C116" s="66">
        <v>22</v>
      </c>
      <c r="D116" s="66">
        <v>2206002000</v>
      </c>
      <c r="E116" s="66" t="s">
        <v>305</v>
      </c>
      <c r="F116" s="65" t="s">
        <v>347</v>
      </c>
      <c r="G116" s="65" t="s">
        <v>266</v>
      </c>
      <c r="H116" s="64"/>
      <c r="I116" s="63">
        <v>2514059</v>
      </c>
      <c r="J116" s="64"/>
      <c r="K116" s="63">
        <v>2514059</v>
      </c>
      <c r="L116" s="63">
        <f>I116-K116</f>
        <v>0</v>
      </c>
      <c r="M116" s="62"/>
      <c r="N116" s="62"/>
      <c r="O116" s="62"/>
      <c r="P116" s="62"/>
      <c r="Q116" s="62"/>
      <c r="R116" s="62"/>
      <c r="S116" s="61">
        <f t="shared" si="38"/>
        <v>2514059</v>
      </c>
      <c r="T116" s="61">
        <f>I116-S116</f>
        <v>0</v>
      </c>
      <c r="U116" s="61" t="s">
        <v>73</v>
      </c>
    </row>
    <row r="117" spans="1:21" customFormat="1" ht="52.5" hidden="1" customHeight="1" x14ac:dyDescent="0.25">
      <c r="A117" s="67">
        <v>1</v>
      </c>
      <c r="B117" s="67" t="s">
        <v>70</v>
      </c>
      <c r="C117" s="66">
        <v>22</v>
      </c>
      <c r="D117" s="66">
        <v>2206002000</v>
      </c>
      <c r="E117" s="66" t="s">
        <v>305</v>
      </c>
      <c r="F117" s="65" t="s">
        <v>347</v>
      </c>
      <c r="G117" s="65" t="s">
        <v>349</v>
      </c>
      <c r="H117" s="64"/>
      <c r="I117" s="63">
        <v>12500000</v>
      </c>
      <c r="J117" s="64"/>
      <c r="K117" s="63">
        <v>1055753</v>
      </c>
      <c r="L117" s="63">
        <f>I117-K117</f>
        <v>11444247</v>
      </c>
      <c r="M117" s="62"/>
      <c r="N117" s="62"/>
      <c r="O117" s="62"/>
      <c r="P117" s="62"/>
      <c r="Q117" s="62">
        <v>11444247</v>
      </c>
      <c r="R117" s="62"/>
      <c r="S117" s="61">
        <f t="shared" si="38"/>
        <v>12500000</v>
      </c>
      <c r="T117" s="61">
        <f>I117-S117</f>
        <v>0</v>
      </c>
      <c r="U117" s="61" t="s">
        <v>348</v>
      </c>
    </row>
    <row r="118" spans="1:21" customFormat="1" ht="48.95" hidden="1" customHeight="1" x14ac:dyDescent="0.25">
      <c r="A118" s="67">
        <v>1</v>
      </c>
      <c r="B118" s="67" t="s">
        <v>70</v>
      </c>
      <c r="C118" s="66">
        <v>22</v>
      </c>
      <c r="D118" s="66">
        <v>2206002000</v>
      </c>
      <c r="E118" s="66" t="s">
        <v>305</v>
      </c>
      <c r="F118" s="65" t="s">
        <v>347</v>
      </c>
      <c r="G118" s="65" t="s">
        <v>346</v>
      </c>
      <c r="H118" s="64"/>
      <c r="I118" s="63">
        <v>261316</v>
      </c>
      <c r="J118" s="64"/>
      <c r="K118" s="63"/>
      <c r="L118" s="63">
        <v>261316</v>
      </c>
      <c r="M118" s="62">
        <v>261316</v>
      </c>
      <c r="N118" s="62"/>
      <c r="O118" s="62"/>
      <c r="P118" s="62"/>
      <c r="Q118" s="62"/>
      <c r="R118" s="62"/>
      <c r="S118" s="61">
        <f t="shared" si="38"/>
        <v>261316</v>
      </c>
      <c r="T118" s="61">
        <f>I118-S118</f>
        <v>0</v>
      </c>
      <c r="U118" s="61"/>
    </row>
    <row r="119" spans="1:21" ht="25.5" hidden="1" customHeight="1" x14ac:dyDescent="0.2">
      <c r="A119" s="99">
        <v>1</v>
      </c>
      <c r="B119" s="99" t="s">
        <v>66</v>
      </c>
      <c r="C119" s="97">
        <v>22</v>
      </c>
      <c r="D119" s="97">
        <v>2207003000</v>
      </c>
      <c r="E119" s="97" t="s">
        <v>305</v>
      </c>
      <c r="F119" s="98" t="s">
        <v>345</v>
      </c>
      <c r="G119" s="97"/>
      <c r="H119" s="96">
        <v>6100000</v>
      </c>
      <c r="I119" s="96">
        <v>0</v>
      </c>
      <c r="J119" s="96">
        <v>6100000</v>
      </c>
      <c r="K119" s="96">
        <v>0</v>
      </c>
      <c r="L119" s="96">
        <v>0</v>
      </c>
      <c r="M119" s="96"/>
      <c r="N119" s="96"/>
      <c r="O119" s="96">
        <v>6100000</v>
      </c>
      <c r="P119" s="96"/>
      <c r="Q119" s="96"/>
      <c r="R119" s="96"/>
      <c r="S119" s="57">
        <f t="shared" si="38"/>
        <v>6100000</v>
      </c>
      <c r="T119" s="94">
        <f>H119-S119</f>
        <v>0</v>
      </c>
      <c r="U119" s="94"/>
    </row>
    <row r="120" spans="1:21" ht="12.75" hidden="1" customHeight="1" x14ac:dyDescent="0.2">
      <c r="A120" s="99">
        <v>1</v>
      </c>
      <c r="B120" s="99" t="s">
        <v>66</v>
      </c>
      <c r="C120" s="97">
        <v>22</v>
      </c>
      <c r="D120" s="97">
        <v>2208001000</v>
      </c>
      <c r="E120" s="97" t="s">
        <v>305</v>
      </c>
      <c r="F120" s="98" t="s">
        <v>343</v>
      </c>
      <c r="G120" s="97"/>
      <c r="H120" s="96">
        <v>42000000</v>
      </c>
      <c r="I120" s="96">
        <f>SUM(I121:I122)</f>
        <v>41342748</v>
      </c>
      <c r="J120" s="96">
        <f>H120-I120</f>
        <v>657252</v>
      </c>
      <c r="K120" s="96">
        <f t="shared" ref="K120:R120" si="46">SUM(K121:K122)</f>
        <v>17226145</v>
      </c>
      <c r="L120" s="96">
        <f t="shared" si="46"/>
        <v>24116603</v>
      </c>
      <c r="M120" s="96">
        <f t="shared" si="46"/>
        <v>3445229</v>
      </c>
      <c r="N120" s="96">
        <f t="shared" si="46"/>
        <v>4102481</v>
      </c>
      <c r="O120" s="96">
        <f t="shared" si="46"/>
        <v>3445229</v>
      </c>
      <c r="P120" s="96">
        <f t="shared" si="46"/>
        <v>3445229</v>
      </c>
      <c r="Q120" s="96">
        <f t="shared" si="46"/>
        <v>3445229</v>
      </c>
      <c r="R120" s="96">
        <f t="shared" si="46"/>
        <v>6890458</v>
      </c>
      <c r="S120" s="58">
        <f t="shared" si="38"/>
        <v>42000000</v>
      </c>
      <c r="T120" s="94">
        <f>H120-S120</f>
        <v>0</v>
      </c>
      <c r="U120" s="94"/>
    </row>
    <row r="121" spans="1:21" customFormat="1" ht="15" hidden="1" customHeight="1" x14ac:dyDescent="0.25">
      <c r="A121" s="67">
        <v>1</v>
      </c>
      <c r="B121" s="67" t="s">
        <v>70</v>
      </c>
      <c r="C121" s="66">
        <v>22</v>
      </c>
      <c r="D121" s="66">
        <v>2208001000</v>
      </c>
      <c r="E121" s="66" t="s">
        <v>305</v>
      </c>
      <c r="F121" s="65" t="s">
        <v>343</v>
      </c>
      <c r="G121" s="65" t="s">
        <v>344</v>
      </c>
      <c r="H121" s="64"/>
      <c r="I121" s="63">
        <v>41342748</v>
      </c>
      <c r="J121" s="64"/>
      <c r="K121" s="63">
        <v>17226145</v>
      </c>
      <c r="L121" s="63">
        <f>I121-K121</f>
        <v>24116603</v>
      </c>
      <c r="M121" s="62">
        <v>3445229</v>
      </c>
      <c r="N121" s="62">
        <v>3445229</v>
      </c>
      <c r="O121" s="62">
        <v>3445229</v>
      </c>
      <c r="P121" s="62">
        <v>3445229</v>
      </c>
      <c r="Q121" s="62">
        <v>3445229</v>
      </c>
      <c r="R121" s="62">
        <f>3445229*2</f>
        <v>6890458</v>
      </c>
      <c r="S121" s="61">
        <f t="shared" si="38"/>
        <v>41342748</v>
      </c>
      <c r="T121" s="61">
        <f>I121-S121</f>
        <v>0</v>
      </c>
      <c r="U121" s="61"/>
    </row>
    <row r="122" spans="1:21" customFormat="1" ht="15" hidden="1" customHeight="1" x14ac:dyDescent="0.25">
      <c r="A122" s="67">
        <v>1</v>
      </c>
      <c r="B122" s="67" t="s">
        <v>70</v>
      </c>
      <c r="C122" s="66">
        <v>22</v>
      </c>
      <c r="D122" s="66">
        <v>2208001000</v>
      </c>
      <c r="E122" s="66" t="s">
        <v>305</v>
      </c>
      <c r="F122" s="65" t="s">
        <v>343</v>
      </c>
      <c r="G122" s="65" t="s">
        <v>67</v>
      </c>
      <c r="H122" s="64"/>
      <c r="I122" s="63"/>
      <c r="J122" s="64"/>
      <c r="K122" s="63"/>
      <c r="L122" s="63">
        <f>I122-K122</f>
        <v>0</v>
      </c>
      <c r="M122" s="62"/>
      <c r="N122" s="62">
        <f>J120</f>
        <v>657252</v>
      </c>
      <c r="O122" s="62"/>
      <c r="P122" s="62"/>
      <c r="Q122" s="62"/>
      <c r="R122" s="62"/>
      <c r="S122" s="61">
        <f t="shared" si="38"/>
        <v>657252</v>
      </c>
      <c r="T122" s="61">
        <f>I122-S122</f>
        <v>-657252</v>
      </c>
      <c r="U122" s="61"/>
    </row>
    <row r="123" spans="1:21" ht="12.75" hidden="1" customHeight="1" x14ac:dyDescent="0.2">
      <c r="A123" s="99">
        <v>1</v>
      </c>
      <c r="B123" s="99" t="s">
        <v>66</v>
      </c>
      <c r="C123" s="97">
        <v>22</v>
      </c>
      <c r="D123" s="97">
        <v>2208007002</v>
      </c>
      <c r="E123" s="97" t="s">
        <v>305</v>
      </c>
      <c r="F123" s="98" t="s">
        <v>340</v>
      </c>
      <c r="G123" s="97"/>
      <c r="H123" s="96">
        <f>52660108-10000000-10000000</f>
        <v>32660108</v>
      </c>
      <c r="I123" s="96">
        <f>SUM(I124:I125)</f>
        <v>32000000</v>
      </c>
      <c r="J123" s="96">
        <f>H123-I123</f>
        <v>660108</v>
      </c>
      <c r="K123" s="96">
        <f>SUM(K124:K125)</f>
        <v>4914284</v>
      </c>
      <c r="L123" s="96">
        <f>SUM(L124:L125)</f>
        <v>27085716</v>
      </c>
      <c r="M123" s="96">
        <f t="shared" ref="M123:R123" si="47">SUM(M124:M126)</f>
        <v>1800000</v>
      </c>
      <c r="N123" s="96">
        <f t="shared" si="47"/>
        <v>2200000</v>
      </c>
      <c r="O123" s="96">
        <f t="shared" si="47"/>
        <v>3900000</v>
      </c>
      <c r="P123" s="96">
        <f t="shared" si="47"/>
        <v>4560108</v>
      </c>
      <c r="Q123" s="96">
        <f t="shared" si="47"/>
        <v>5000000</v>
      </c>
      <c r="R123" s="96">
        <f t="shared" si="47"/>
        <v>10285716</v>
      </c>
      <c r="S123" s="58">
        <f t="shared" si="38"/>
        <v>32660108</v>
      </c>
      <c r="T123" s="94">
        <f>H123-S123</f>
        <v>0</v>
      </c>
      <c r="U123" s="94"/>
    </row>
    <row r="124" spans="1:21" customFormat="1" ht="22.5" hidden="1" customHeight="1" x14ac:dyDescent="0.25">
      <c r="A124" s="67">
        <v>1</v>
      </c>
      <c r="B124" s="67" t="s">
        <v>70</v>
      </c>
      <c r="C124" s="66">
        <v>22</v>
      </c>
      <c r="D124" s="66">
        <v>2208007002</v>
      </c>
      <c r="E124" s="66" t="s">
        <v>305</v>
      </c>
      <c r="F124" s="65" t="s">
        <v>340</v>
      </c>
      <c r="G124" s="65" t="s">
        <v>342</v>
      </c>
      <c r="H124" s="64"/>
      <c r="I124" s="63">
        <v>26000000</v>
      </c>
      <c r="J124" s="64"/>
      <c r="K124" s="63">
        <v>4236017</v>
      </c>
      <c r="L124" s="63">
        <f>I124-K124</f>
        <v>21763983</v>
      </c>
      <c r="M124" s="62">
        <v>1500000</v>
      </c>
      <c r="N124" s="62">
        <v>1500000</v>
      </c>
      <c r="O124" s="62">
        <v>3200000</v>
      </c>
      <c r="P124" s="62">
        <v>3200000</v>
      </c>
      <c r="Q124" s="62">
        <v>3200000</v>
      </c>
      <c r="R124" s="62">
        <v>9163983</v>
      </c>
      <c r="S124" s="61">
        <f t="shared" si="38"/>
        <v>26000000</v>
      </c>
      <c r="T124" s="61">
        <f>I124-S124</f>
        <v>0</v>
      </c>
      <c r="U124" s="61"/>
    </row>
    <row r="125" spans="1:21" customFormat="1" ht="22.5" hidden="1" customHeight="1" x14ac:dyDescent="0.25">
      <c r="A125" s="67">
        <v>1</v>
      </c>
      <c r="B125" s="67" t="s">
        <v>70</v>
      </c>
      <c r="C125" s="66">
        <v>22</v>
      </c>
      <c r="D125" s="66">
        <v>2208007002</v>
      </c>
      <c r="E125" s="66" t="s">
        <v>305</v>
      </c>
      <c r="F125" s="65" t="s">
        <v>340</v>
      </c>
      <c r="G125" s="65" t="s">
        <v>341</v>
      </c>
      <c r="H125" s="64"/>
      <c r="I125" s="63">
        <v>6000000</v>
      </c>
      <c r="J125" s="64"/>
      <c r="K125" s="63">
        <v>678267</v>
      </c>
      <c r="L125" s="63">
        <f>I125-K125</f>
        <v>5321733</v>
      </c>
      <c r="M125" s="62">
        <v>300000</v>
      </c>
      <c r="N125" s="62">
        <v>700000</v>
      </c>
      <c r="O125" s="62">
        <v>700000</v>
      </c>
      <c r="P125" s="62">
        <v>700000</v>
      </c>
      <c r="Q125" s="62">
        <v>1800000</v>
      </c>
      <c r="R125" s="62">
        <v>1121733</v>
      </c>
      <c r="S125" s="61">
        <f t="shared" si="38"/>
        <v>6000000</v>
      </c>
      <c r="T125" s="61">
        <f>I125-S125</f>
        <v>0</v>
      </c>
      <c r="U125" s="61"/>
    </row>
    <row r="126" spans="1:21" customFormat="1" ht="15" hidden="1" customHeight="1" x14ac:dyDescent="0.25">
      <c r="A126" s="67">
        <v>1</v>
      </c>
      <c r="B126" s="67" t="s">
        <v>70</v>
      </c>
      <c r="C126" s="66">
        <v>22</v>
      </c>
      <c r="D126" s="66">
        <v>2208007002</v>
      </c>
      <c r="E126" s="66" t="s">
        <v>305</v>
      </c>
      <c r="F126" s="65" t="s">
        <v>340</v>
      </c>
      <c r="G126" s="65" t="s">
        <v>67</v>
      </c>
      <c r="H126" s="64"/>
      <c r="I126" s="63"/>
      <c r="J126" s="64"/>
      <c r="K126" s="63"/>
      <c r="L126" s="63"/>
      <c r="M126" s="62"/>
      <c r="N126" s="62"/>
      <c r="O126" s="52"/>
      <c r="P126" s="62">
        <f>J123</f>
        <v>660108</v>
      </c>
      <c r="Q126" s="62"/>
      <c r="R126" s="62"/>
      <c r="S126" s="61">
        <f t="shared" ref="S126:S157" si="48">SUM(K126:R126)-L126</f>
        <v>660108</v>
      </c>
      <c r="T126" s="61">
        <f>I126-S126</f>
        <v>-660108</v>
      </c>
      <c r="U126" s="61"/>
    </row>
    <row r="127" spans="1:21" ht="12.75" hidden="1" customHeight="1" x14ac:dyDescent="0.2">
      <c r="A127" s="99">
        <v>1</v>
      </c>
      <c r="B127" s="99" t="s">
        <v>66</v>
      </c>
      <c r="C127" s="97">
        <v>22</v>
      </c>
      <c r="D127" s="97">
        <v>2208007004</v>
      </c>
      <c r="E127" s="97" t="s">
        <v>305</v>
      </c>
      <c r="F127" s="98" t="s">
        <v>337</v>
      </c>
      <c r="G127" s="97"/>
      <c r="H127" s="96">
        <v>19705664</v>
      </c>
      <c r="I127" s="96">
        <f>SUM(I128:I131)</f>
        <v>19401572</v>
      </c>
      <c r="J127" s="96">
        <f>H127-I127</f>
        <v>304092</v>
      </c>
      <c r="K127" s="96">
        <f>SUM(K128:K131)</f>
        <v>12462535</v>
      </c>
      <c r="L127" s="96">
        <f>SUM(L128:L131)</f>
        <v>6939037</v>
      </c>
      <c r="M127" s="96">
        <f t="shared" ref="M127:R127" si="49">SUM(M129:M131)</f>
        <v>730000</v>
      </c>
      <c r="N127" s="96">
        <f t="shared" si="49"/>
        <v>730000</v>
      </c>
      <c r="O127" s="96">
        <f t="shared" si="49"/>
        <v>1730000</v>
      </c>
      <c r="P127" s="96">
        <f t="shared" si="49"/>
        <v>1714092</v>
      </c>
      <c r="Q127" s="96">
        <f t="shared" si="49"/>
        <v>1650000</v>
      </c>
      <c r="R127" s="96">
        <f t="shared" si="49"/>
        <v>689037</v>
      </c>
      <c r="S127" s="58">
        <f t="shared" si="48"/>
        <v>19705664</v>
      </c>
      <c r="T127" s="94">
        <f>H127-S127</f>
        <v>0</v>
      </c>
      <c r="U127" s="94"/>
    </row>
    <row r="128" spans="1:21" customFormat="1" ht="15" hidden="1" customHeight="1" x14ac:dyDescent="0.25">
      <c r="A128" s="67">
        <v>1</v>
      </c>
      <c r="B128" s="67" t="s">
        <v>70</v>
      </c>
      <c r="C128" s="66">
        <v>22</v>
      </c>
      <c r="D128" s="66">
        <v>2208007004</v>
      </c>
      <c r="E128" s="66" t="s">
        <v>305</v>
      </c>
      <c r="F128" s="65" t="s">
        <v>337</v>
      </c>
      <c r="G128" s="65" t="s">
        <v>266</v>
      </c>
      <c r="H128" s="64"/>
      <c r="I128" s="63">
        <v>498180</v>
      </c>
      <c r="J128" s="64"/>
      <c r="K128" s="63">
        <v>498180</v>
      </c>
      <c r="L128" s="63">
        <f>I128-K128</f>
        <v>0</v>
      </c>
      <c r="M128" s="62"/>
      <c r="N128" s="62"/>
      <c r="O128" s="62"/>
      <c r="P128" s="62"/>
      <c r="Q128" s="62"/>
      <c r="R128" s="62"/>
      <c r="S128" s="61">
        <f t="shared" si="48"/>
        <v>498180</v>
      </c>
      <c r="T128" s="61">
        <f>I128-S128</f>
        <v>0</v>
      </c>
      <c r="U128" s="61" t="s">
        <v>73</v>
      </c>
    </row>
    <row r="129" spans="1:21" customFormat="1" ht="22.5" hidden="1" customHeight="1" x14ac:dyDescent="0.25">
      <c r="A129" s="67">
        <v>1</v>
      </c>
      <c r="B129" s="67" t="s">
        <v>70</v>
      </c>
      <c r="C129" s="66">
        <v>22</v>
      </c>
      <c r="D129" s="66">
        <v>2208007004</v>
      </c>
      <c r="E129" s="66" t="s">
        <v>305</v>
      </c>
      <c r="F129" s="65" t="s">
        <v>337</v>
      </c>
      <c r="G129" s="65" t="s">
        <v>339</v>
      </c>
      <c r="H129" s="64"/>
      <c r="I129" s="63">
        <v>1500000</v>
      </c>
      <c r="J129" s="64"/>
      <c r="K129" s="63">
        <v>197025</v>
      </c>
      <c r="L129" s="63">
        <f>I129-K129</f>
        <v>1302975</v>
      </c>
      <c r="M129" s="62">
        <v>150000</v>
      </c>
      <c r="N129" s="62">
        <v>150000</v>
      </c>
      <c r="O129" s="62">
        <v>150000</v>
      </c>
      <c r="P129" s="62">
        <v>150000</v>
      </c>
      <c r="Q129" s="62">
        <v>150000</v>
      </c>
      <c r="R129" s="62">
        <v>552975</v>
      </c>
      <c r="S129" s="61">
        <f t="shared" si="48"/>
        <v>1500000</v>
      </c>
      <c r="T129" s="61">
        <f>I129-S129</f>
        <v>0</v>
      </c>
      <c r="U129" s="61"/>
    </row>
    <row r="130" spans="1:21" customFormat="1" ht="22.5" hidden="1" customHeight="1" x14ac:dyDescent="0.25">
      <c r="A130" s="67">
        <v>1</v>
      </c>
      <c r="B130" s="67" t="s">
        <v>70</v>
      </c>
      <c r="C130" s="66">
        <v>22</v>
      </c>
      <c r="D130" s="66">
        <v>2208007004</v>
      </c>
      <c r="E130" s="66" t="s">
        <v>305</v>
      </c>
      <c r="F130" s="65" t="s">
        <v>337</v>
      </c>
      <c r="G130" s="65" t="s">
        <v>338</v>
      </c>
      <c r="H130" s="64"/>
      <c r="I130" s="63">
        <v>17403392</v>
      </c>
      <c r="J130" s="64"/>
      <c r="K130" s="63">
        <v>11767330</v>
      </c>
      <c r="L130" s="63">
        <f>I130-K130</f>
        <v>5636062</v>
      </c>
      <c r="M130" s="62">
        <v>500000</v>
      </c>
      <c r="N130" s="62">
        <v>500000</v>
      </c>
      <c r="O130" s="62">
        <v>1500000</v>
      </c>
      <c r="P130" s="62">
        <v>1500000</v>
      </c>
      <c r="Q130" s="62">
        <v>1500000</v>
      </c>
      <c r="R130" s="81">
        <v>136062</v>
      </c>
      <c r="S130" s="61">
        <f t="shared" si="48"/>
        <v>17403392</v>
      </c>
      <c r="T130" s="61">
        <f>I130-S130</f>
        <v>0</v>
      </c>
      <c r="U130" s="61"/>
    </row>
    <row r="131" spans="1:21" customFormat="1" ht="22.5" hidden="1" customHeight="1" x14ac:dyDescent="0.25">
      <c r="A131" s="67">
        <v>1</v>
      </c>
      <c r="B131" s="67" t="s">
        <v>70</v>
      </c>
      <c r="C131" s="66">
        <v>22</v>
      </c>
      <c r="D131" s="66">
        <v>2208007004</v>
      </c>
      <c r="E131" s="66" t="s">
        <v>305</v>
      </c>
      <c r="F131" s="65" t="s">
        <v>337</v>
      </c>
      <c r="G131" s="65" t="s">
        <v>67</v>
      </c>
      <c r="H131" s="64"/>
      <c r="I131" s="63"/>
      <c r="J131" s="64"/>
      <c r="K131" s="63"/>
      <c r="L131" s="63">
        <f>I131-K131</f>
        <v>0</v>
      </c>
      <c r="M131" s="62">
        <v>80000</v>
      </c>
      <c r="N131" s="62">
        <v>80000</v>
      </c>
      <c r="O131" s="62">
        <v>80000</v>
      </c>
      <c r="P131" s="62">
        <v>64092</v>
      </c>
      <c r="Q131" s="62"/>
      <c r="R131" s="62"/>
      <c r="S131" s="61">
        <f t="shared" si="48"/>
        <v>304092</v>
      </c>
      <c r="T131" s="61">
        <f>I131-S131</f>
        <v>-304092</v>
      </c>
      <c r="U131" s="61"/>
    </row>
    <row r="132" spans="1:21" ht="12.75" hidden="1" customHeight="1" x14ac:dyDescent="0.2">
      <c r="A132" s="99">
        <v>1</v>
      </c>
      <c r="B132" s="99" t="s">
        <v>66</v>
      </c>
      <c r="C132" s="97">
        <v>22</v>
      </c>
      <c r="D132" s="97">
        <v>2208007006</v>
      </c>
      <c r="E132" s="97" t="s">
        <v>305</v>
      </c>
      <c r="F132" s="98" t="s">
        <v>330</v>
      </c>
      <c r="G132" s="97"/>
      <c r="H132" s="96">
        <v>6000000</v>
      </c>
      <c r="I132" s="96">
        <f>SUM(I133:I140)</f>
        <v>5933652</v>
      </c>
      <c r="J132" s="96">
        <f>H132-I132</f>
        <v>66348</v>
      </c>
      <c r="K132" s="96">
        <f t="shared" ref="K132:R132" si="50">SUM(K133:K140)</f>
        <v>2563134</v>
      </c>
      <c r="L132" s="96">
        <f t="shared" si="50"/>
        <v>3370518</v>
      </c>
      <c r="M132" s="96">
        <f t="shared" si="50"/>
        <v>519204</v>
      </c>
      <c r="N132" s="96">
        <f t="shared" si="50"/>
        <v>504817</v>
      </c>
      <c r="O132" s="96">
        <f t="shared" si="50"/>
        <v>481165</v>
      </c>
      <c r="P132" s="96">
        <f t="shared" si="50"/>
        <v>474817</v>
      </c>
      <c r="Q132" s="96">
        <f t="shared" si="50"/>
        <v>474817</v>
      </c>
      <c r="R132" s="96">
        <f t="shared" si="50"/>
        <v>982046</v>
      </c>
      <c r="S132" s="58">
        <f t="shared" si="48"/>
        <v>6000000</v>
      </c>
      <c r="T132" s="94">
        <f>H132-S132</f>
        <v>0</v>
      </c>
      <c r="U132" s="94"/>
    </row>
    <row r="133" spans="1:21" customFormat="1" ht="33.75" hidden="1" customHeight="1" x14ac:dyDescent="0.25">
      <c r="A133" s="67">
        <v>1</v>
      </c>
      <c r="B133" s="67" t="s">
        <v>70</v>
      </c>
      <c r="C133" s="66">
        <v>22</v>
      </c>
      <c r="D133" s="66">
        <v>2208007006</v>
      </c>
      <c r="E133" s="66" t="s">
        <v>305</v>
      </c>
      <c r="F133" s="65" t="s">
        <v>330</v>
      </c>
      <c r="G133" s="65" t="s">
        <v>336</v>
      </c>
      <c r="H133" s="64"/>
      <c r="I133" s="63">
        <v>169475</v>
      </c>
      <c r="J133" s="64"/>
      <c r="K133" s="63">
        <v>94966</v>
      </c>
      <c r="L133" s="63">
        <f t="shared" ref="L133:L140" si="51">I133-K133</f>
        <v>74509</v>
      </c>
      <c r="M133" s="62"/>
      <c r="N133" s="62">
        <v>13945</v>
      </c>
      <c r="O133" s="62">
        <v>13945</v>
      </c>
      <c r="P133" s="62">
        <v>13945</v>
      </c>
      <c r="Q133" s="62">
        <v>13945</v>
      </c>
      <c r="R133" s="62">
        <v>18729</v>
      </c>
      <c r="S133" s="61">
        <f t="shared" si="48"/>
        <v>169475</v>
      </c>
      <c r="T133" s="61">
        <f t="shared" ref="T133:T140" si="52">I133-S133</f>
        <v>0</v>
      </c>
      <c r="U133" s="61"/>
    </row>
    <row r="134" spans="1:21" customFormat="1" ht="22.5" hidden="1" customHeight="1" x14ac:dyDescent="0.25">
      <c r="A134" s="67">
        <v>1</v>
      </c>
      <c r="B134" s="67" t="s">
        <v>70</v>
      </c>
      <c r="C134" s="66">
        <v>22</v>
      </c>
      <c r="D134" s="66">
        <v>2208007006</v>
      </c>
      <c r="E134" s="66" t="s">
        <v>305</v>
      </c>
      <c r="F134" s="65" t="s">
        <v>330</v>
      </c>
      <c r="G134" s="65" t="s">
        <v>335</v>
      </c>
      <c r="H134" s="64"/>
      <c r="I134" s="63">
        <v>2222605</v>
      </c>
      <c r="J134" s="64"/>
      <c r="K134" s="63">
        <v>1062651</v>
      </c>
      <c r="L134" s="63">
        <f t="shared" si="51"/>
        <v>1159954</v>
      </c>
      <c r="M134" s="62">
        <v>195131</v>
      </c>
      <c r="N134" s="62">
        <v>195131</v>
      </c>
      <c r="O134" s="62">
        <v>195131</v>
      </c>
      <c r="P134" s="62">
        <v>195131</v>
      </c>
      <c r="Q134" s="62">
        <v>195131</v>
      </c>
      <c r="R134" s="62">
        <v>184299</v>
      </c>
      <c r="S134" s="61">
        <f t="shared" si="48"/>
        <v>2222605</v>
      </c>
      <c r="T134" s="61">
        <f t="shared" si="52"/>
        <v>0</v>
      </c>
      <c r="U134" s="61"/>
    </row>
    <row r="135" spans="1:21" customFormat="1" ht="22.5" hidden="1" customHeight="1" x14ac:dyDescent="0.25">
      <c r="A135" s="67">
        <v>1</v>
      </c>
      <c r="B135" s="67" t="s">
        <v>70</v>
      </c>
      <c r="C135" s="66">
        <v>22</v>
      </c>
      <c r="D135" s="66">
        <v>2208007006</v>
      </c>
      <c r="E135" s="66" t="s">
        <v>305</v>
      </c>
      <c r="F135" s="65" t="s">
        <v>330</v>
      </c>
      <c r="G135" s="65" t="s">
        <v>334</v>
      </c>
      <c r="H135" s="64"/>
      <c r="I135" s="63">
        <v>177763</v>
      </c>
      <c r="J135" s="64"/>
      <c r="K135" s="63">
        <v>59783</v>
      </c>
      <c r="L135" s="63">
        <f t="shared" si="51"/>
        <v>117980</v>
      </c>
      <c r="M135" s="62">
        <v>15959</v>
      </c>
      <c r="N135" s="62">
        <v>15959</v>
      </c>
      <c r="O135" s="62">
        <v>15959</v>
      </c>
      <c r="P135" s="62">
        <v>15959</v>
      </c>
      <c r="Q135" s="62">
        <v>15959</v>
      </c>
      <c r="R135" s="62">
        <v>38185</v>
      </c>
      <c r="S135" s="61">
        <f t="shared" si="48"/>
        <v>177763</v>
      </c>
      <c r="T135" s="61">
        <f t="shared" si="52"/>
        <v>0</v>
      </c>
      <c r="U135" s="61"/>
    </row>
    <row r="136" spans="1:21" customFormat="1" ht="33.75" hidden="1" customHeight="1" x14ac:dyDescent="0.25">
      <c r="A136" s="67">
        <v>1</v>
      </c>
      <c r="B136" s="67" t="s">
        <v>70</v>
      </c>
      <c r="C136" s="66">
        <v>22</v>
      </c>
      <c r="D136" s="66">
        <v>2208007006</v>
      </c>
      <c r="E136" s="66" t="s">
        <v>305</v>
      </c>
      <c r="F136" s="65" t="s">
        <v>330</v>
      </c>
      <c r="G136" s="65" t="s">
        <v>333</v>
      </c>
      <c r="H136" s="64"/>
      <c r="I136" s="63">
        <v>336125</v>
      </c>
      <c r="J136" s="64"/>
      <c r="K136" s="63">
        <v>94600</v>
      </c>
      <c r="L136" s="63">
        <f t="shared" si="51"/>
        <v>241525</v>
      </c>
      <c r="M136" s="62">
        <f>28332*2</f>
        <v>56664</v>
      </c>
      <c r="N136" s="62">
        <v>28332</v>
      </c>
      <c r="O136" s="62">
        <v>28332</v>
      </c>
      <c r="P136" s="62">
        <v>28332</v>
      </c>
      <c r="Q136" s="62">
        <v>28332</v>
      </c>
      <c r="R136" s="62">
        <v>71533</v>
      </c>
      <c r="S136" s="61">
        <f t="shared" si="48"/>
        <v>336125</v>
      </c>
      <c r="T136" s="61">
        <f t="shared" si="52"/>
        <v>0</v>
      </c>
      <c r="U136" s="61"/>
    </row>
    <row r="137" spans="1:21" customFormat="1" ht="22.5" hidden="1" customHeight="1" x14ac:dyDescent="0.25">
      <c r="A137" s="67">
        <v>1</v>
      </c>
      <c r="B137" s="67" t="s">
        <v>70</v>
      </c>
      <c r="C137" s="66">
        <v>22</v>
      </c>
      <c r="D137" s="66">
        <v>2208007006</v>
      </c>
      <c r="E137" s="66" t="s">
        <v>305</v>
      </c>
      <c r="F137" s="65" t="s">
        <v>330</v>
      </c>
      <c r="G137" s="65" t="s">
        <v>332</v>
      </c>
      <c r="H137" s="64"/>
      <c r="I137" s="63">
        <v>2405748</v>
      </c>
      <c r="J137" s="64"/>
      <c r="K137" s="63">
        <v>836948</v>
      </c>
      <c r="L137" s="63">
        <f t="shared" si="51"/>
        <v>1568800</v>
      </c>
      <c r="M137" s="62">
        <v>195223</v>
      </c>
      <c r="N137" s="62">
        <v>195223</v>
      </c>
      <c r="O137" s="62">
        <v>195223</v>
      </c>
      <c r="P137" s="62">
        <v>195223</v>
      </c>
      <c r="Q137" s="62">
        <v>195223</v>
      </c>
      <c r="R137" s="62">
        <v>592685</v>
      </c>
      <c r="S137" s="61">
        <f t="shared" si="48"/>
        <v>2405748</v>
      </c>
      <c r="T137" s="61">
        <f t="shared" si="52"/>
        <v>0</v>
      </c>
      <c r="U137" s="61"/>
    </row>
    <row r="138" spans="1:21" customFormat="1" ht="22.5" hidden="1" customHeight="1" x14ac:dyDescent="0.25">
      <c r="A138" s="67">
        <v>1</v>
      </c>
      <c r="B138" s="67" t="s">
        <v>70</v>
      </c>
      <c r="C138" s="66">
        <v>22</v>
      </c>
      <c r="D138" s="66">
        <v>2208007006</v>
      </c>
      <c r="E138" s="66" t="s">
        <v>305</v>
      </c>
      <c r="F138" s="65" t="s">
        <v>330</v>
      </c>
      <c r="G138" s="65" t="s">
        <v>331</v>
      </c>
      <c r="H138" s="64"/>
      <c r="I138" s="63">
        <v>288600</v>
      </c>
      <c r="J138" s="64"/>
      <c r="K138" s="63">
        <v>80850</v>
      </c>
      <c r="L138" s="63">
        <f t="shared" si="51"/>
        <v>207750</v>
      </c>
      <c r="M138" s="62">
        <f>26227</f>
        <v>26227</v>
      </c>
      <c r="N138" s="62">
        <v>26227</v>
      </c>
      <c r="O138" s="62">
        <v>26227</v>
      </c>
      <c r="P138" s="62">
        <v>26227</v>
      </c>
      <c r="Q138" s="62">
        <v>26227</v>
      </c>
      <c r="R138" s="62">
        <v>76615</v>
      </c>
      <c r="S138" s="61">
        <f t="shared" si="48"/>
        <v>288600</v>
      </c>
      <c r="T138" s="61">
        <f t="shared" si="52"/>
        <v>0</v>
      </c>
      <c r="U138" s="61"/>
    </row>
    <row r="139" spans="1:21" customFormat="1" ht="15" hidden="1" customHeight="1" x14ac:dyDescent="0.25">
      <c r="A139" s="67">
        <v>1</v>
      </c>
      <c r="B139" s="67" t="s">
        <v>70</v>
      </c>
      <c r="C139" s="66">
        <v>22</v>
      </c>
      <c r="D139" s="66">
        <v>2208007006</v>
      </c>
      <c r="E139" s="66" t="s">
        <v>305</v>
      </c>
      <c r="F139" s="65" t="s">
        <v>330</v>
      </c>
      <c r="G139" s="65" t="s">
        <v>266</v>
      </c>
      <c r="H139" s="64"/>
      <c r="I139" s="63">
        <v>333336</v>
      </c>
      <c r="J139" s="64"/>
      <c r="K139" s="63">
        <v>333336</v>
      </c>
      <c r="L139" s="63">
        <f t="shared" si="51"/>
        <v>0</v>
      </c>
      <c r="M139" s="62"/>
      <c r="N139" s="62"/>
      <c r="O139" s="62"/>
      <c r="P139" s="62"/>
      <c r="Q139" s="62"/>
      <c r="R139" s="62"/>
      <c r="S139" s="61">
        <f t="shared" si="48"/>
        <v>333336</v>
      </c>
      <c r="T139" s="61">
        <f t="shared" si="52"/>
        <v>0</v>
      </c>
      <c r="U139" s="61" t="s">
        <v>73</v>
      </c>
    </row>
    <row r="140" spans="1:21" customFormat="1" ht="15" hidden="1" customHeight="1" x14ac:dyDescent="0.25">
      <c r="A140" s="67">
        <v>1</v>
      </c>
      <c r="B140" s="67" t="s">
        <v>70</v>
      </c>
      <c r="C140" s="66">
        <v>22</v>
      </c>
      <c r="D140" s="66">
        <v>2208007006</v>
      </c>
      <c r="E140" s="66" t="s">
        <v>305</v>
      </c>
      <c r="F140" s="65" t="s">
        <v>330</v>
      </c>
      <c r="G140" s="65" t="s">
        <v>67</v>
      </c>
      <c r="H140" s="64"/>
      <c r="I140" s="63"/>
      <c r="J140" s="64"/>
      <c r="K140" s="63"/>
      <c r="L140" s="63">
        <f t="shared" si="51"/>
        <v>0</v>
      </c>
      <c r="M140" s="62">
        <v>30000</v>
      </c>
      <c r="N140" s="62">
        <v>30000</v>
      </c>
      <c r="O140" s="62">
        <v>6348</v>
      </c>
      <c r="P140" s="62"/>
      <c r="Q140" s="62"/>
      <c r="R140" s="62"/>
      <c r="S140" s="61">
        <f t="shared" si="48"/>
        <v>66348</v>
      </c>
      <c r="T140" s="61">
        <f t="shared" si="52"/>
        <v>-66348</v>
      </c>
      <c r="U140" s="61"/>
    </row>
    <row r="141" spans="1:21" ht="12.75" hidden="1" customHeight="1" x14ac:dyDescent="0.2">
      <c r="A141" s="99">
        <v>1</v>
      </c>
      <c r="B141" s="99" t="s">
        <v>66</v>
      </c>
      <c r="C141" s="97">
        <v>22</v>
      </c>
      <c r="D141" s="97">
        <v>2208007007</v>
      </c>
      <c r="E141" s="97" t="s">
        <v>305</v>
      </c>
      <c r="F141" s="98" t="s">
        <v>329</v>
      </c>
      <c r="G141" s="97"/>
      <c r="H141" s="96">
        <f>4500000-462252</f>
        <v>4037748</v>
      </c>
      <c r="I141" s="96">
        <f>SUM(I142:I143)</f>
        <v>1937748</v>
      </c>
      <c r="J141" s="96">
        <f>H141-I141</f>
        <v>2100000</v>
      </c>
      <c r="K141" s="96">
        <f t="shared" ref="K141:R141" si="53">SUM(K142:K143)</f>
        <v>1937748</v>
      </c>
      <c r="L141" s="96">
        <f t="shared" si="53"/>
        <v>0</v>
      </c>
      <c r="M141" s="96">
        <f t="shared" si="53"/>
        <v>300000</v>
      </c>
      <c r="N141" s="96">
        <f t="shared" si="53"/>
        <v>300000</v>
      </c>
      <c r="O141" s="96">
        <f t="shared" si="53"/>
        <v>300000</v>
      </c>
      <c r="P141" s="96">
        <f t="shared" si="53"/>
        <v>300000</v>
      </c>
      <c r="Q141" s="96">
        <f t="shared" si="53"/>
        <v>300000</v>
      </c>
      <c r="R141" s="96">
        <f t="shared" si="53"/>
        <v>600000</v>
      </c>
      <c r="S141" s="58">
        <f t="shared" si="48"/>
        <v>4037748</v>
      </c>
      <c r="T141" s="96">
        <f>H141-S141</f>
        <v>0</v>
      </c>
      <c r="U141" s="94"/>
    </row>
    <row r="142" spans="1:21" customFormat="1" ht="15" hidden="1" customHeight="1" x14ac:dyDescent="0.25">
      <c r="A142" s="67">
        <v>1</v>
      </c>
      <c r="B142" s="67" t="s">
        <v>70</v>
      </c>
      <c r="C142" s="66">
        <v>22</v>
      </c>
      <c r="D142" s="66">
        <v>2208007007</v>
      </c>
      <c r="E142" s="66" t="s">
        <v>305</v>
      </c>
      <c r="F142" s="65" t="s">
        <v>329</v>
      </c>
      <c r="G142" s="65" t="s">
        <v>266</v>
      </c>
      <c r="H142" s="64"/>
      <c r="I142" s="63">
        <v>1937748</v>
      </c>
      <c r="J142" s="64"/>
      <c r="K142" s="63">
        <v>1937748</v>
      </c>
      <c r="L142" s="63">
        <f>I142-K142</f>
        <v>0</v>
      </c>
      <c r="M142" s="62"/>
      <c r="N142" s="62"/>
      <c r="O142" s="62"/>
      <c r="P142" s="62"/>
      <c r="Q142" s="62"/>
      <c r="R142" s="62"/>
      <c r="S142" s="61">
        <f t="shared" si="48"/>
        <v>1937748</v>
      </c>
      <c r="T142" s="61">
        <f>I142-S142</f>
        <v>0</v>
      </c>
      <c r="U142" s="61" t="s">
        <v>73</v>
      </c>
    </row>
    <row r="143" spans="1:21" customFormat="1" ht="15" hidden="1" customHeight="1" x14ac:dyDescent="0.25">
      <c r="A143" s="67">
        <v>1</v>
      </c>
      <c r="B143" s="67" t="s">
        <v>70</v>
      </c>
      <c r="C143" s="66">
        <v>22</v>
      </c>
      <c r="D143" s="66">
        <v>2208007007</v>
      </c>
      <c r="E143" s="66" t="s">
        <v>305</v>
      </c>
      <c r="F143" s="65" t="s">
        <v>329</v>
      </c>
      <c r="G143" s="65" t="s">
        <v>67</v>
      </c>
      <c r="H143" s="64"/>
      <c r="I143" s="63"/>
      <c r="J143" s="64"/>
      <c r="K143" s="63"/>
      <c r="L143" s="63">
        <f>I143-K143</f>
        <v>0</v>
      </c>
      <c r="M143" s="62">
        <v>300000</v>
      </c>
      <c r="N143" s="62">
        <v>300000</v>
      </c>
      <c r="O143" s="62">
        <v>300000</v>
      </c>
      <c r="P143" s="62">
        <v>300000</v>
      </c>
      <c r="Q143" s="62">
        <v>300000</v>
      </c>
      <c r="R143" s="62">
        <v>600000</v>
      </c>
      <c r="S143" s="61">
        <f t="shared" si="48"/>
        <v>2100000</v>
      </c>
      <c r="T143" s="61">
        <f>I143-S143</f>
        <v>-2100000</v>
      </c>
      <c r="U143" s="61"/>
    </row>
    <row r="144" spans="1:21" ht="12.75" hidden="1" customHeight="1" x14ac:dyDescent="0.2">
      <c r="A144" s="99">
        <v>1</v>
      </c>
      <c r="B144" s="99" t="s">
        <v>66</v>
      </c>
      <c r="C144" s="97">
        <v>22</v>
      </c>
      <c r="D144" s="97">
        <v>2208007008</v>
      </c>
      <c r="E144" s="97" t="s">
        <v>305</v>
      </c>
      <c r="F144" s="98" t="s">
        <v>328</v>
      </c>
      <c r="G144" s="97"/>
      <c r="H144" s="96">
        <v>20000000</v>
      </c>
      <c r="I144" s="96">
        <f>SUM(I145:I145)</f>
        <v>20000000</v>
      </c>
      <c r="J144" s="96">
        <f>H144-I144</f>
        <v>0</v>
      </c>
      <c r="K144" s="96">
        <f t="shared" ref="K144:R144" si="54">SUM(K145:K145)</f>
        <v>7529951</v>
      </c>
      <c r="L144" s="96">
        <f t="shared" si="54"/>
        <v>12470049</v>
      </c>
      <c r="M144" s="96">
        <f t="shared" si="54"/>
        <v>1800000</v>
      </c>
      <c r="N144" s="96">
        <f t="shared" si="54"/>
        <v>1800000</v>
      </c>
      <c r="O144" s="96">
        <f t="shared" si="54"/>
        <v>1800000</v>
      </c>
      <c r="P144" s="96">
        <f t="shared" si="54"/>
        <v>1800000</v>
      </c>
      <c r="Q144" s="96">
        <f t="shared" si="54"/>
        <v>1800000</v>
      </c>
      <c r="R144" s="96">
        <f t="shared" si="54"/>
        <v>3470049</v>
      </c>
      <c r="S144" s="58">
        <f t="shared" si="48"/>
        <v>20000000</v>
      </c>
      <c r="T144" s="94">
        <f>H144-S144</f>
        <v>0</v>
      </c>
      <c r="U144" s="94"/>
    </row>
    <row r="145" spans="1:21" customFormat="1" ht="33.75" hidden="1" customHeight="1" x14ac:dyDescent="0.25">
      <c r="A145" s="67">
        <v>1</v>
      </c>
      <c r="B145" s="67" t="s">
        <v>70</v>
      </c>
      <c r="C145" s="66">
        <v>22</v>
      </c>
      <c r="D145" s="66">
        <v>2208007008</v>
      </c>
      <c r="E145" s="66" t="s">
        <v>305</v>
      </c>
      <c r="F145" s="65" t="s">
        <v>328</v>
      </c>
      <c r="G145" s="65" t="s">
        <v>327</v>
      </c>
      <c r="H145" s="64"/>
      <c r="I145" s="63">
        <v>20000000</v>
      </c>
      <c r="J145" s="64"/>
      <c r="K145" s="63">
        <v>7529951</v>
      </c>
      <c r="L145" s="63">
        <f>I145-K145</f>
        <v>12470049</v>
      </c>
      <c r="M145" s="62">
        <v>1800000</v>
      </c>
      <c r="N145" s="62">
        <v>1800000</v>
      </c>
      <c r="O145" s="62">
        <v>1800000</v>
      </c>
      <c r="P145" s="62">
        <v>1800000</v>
      </c>
      <c r="Q145" s="62">
        <v>1800000</v>
      </c>
      <c r="R145" s="62">
        <v>3470049</v>
      </c>
      <c r="S145" s="61">
        <f t="shared" si="48"/>
        <v>20000000</v>
      </c>
      <c r="T145" s="61">
        <f>I145-S145</f>
        <v>0</v>
      </c>
      <c r="U145" s="61"/>
    </row>
    <row r="146" spans="1:21" ht="12.75" hidden="1" customHeight="1" x14ac:dyDescent="0.2">
      <c r="A146" s="99">
        <v>1</v>
      </c>
      <c r="B146" s="99" t="s">
        <v>66</v>
      </c>
      <c r="C146" s="97">
        <v>22</v>
      </c>
      <c r="D146" s="97">
        <v>2208010000</v>
      </c>
      <c r="E146" s="97" t="s">
        <v>305</v>
      </c>
      <c r="F146" s="98" t="s">
        <v>326</v>
      </c>
      <c r="G146" s="97"/>
      <c r="H146" s="96">
        <f>13800000-5803200</f>
        <v>7996800</v>
      </c>
      <c r="I146" s="96">
        <f>SUM(I147:I147)</f>
        <v>7996800</v>
      </c>
      <c r="J146" s="96">
        <f>H146-I146</f>
        <v>0</v>
      </c>
      <c r="K146" s="96">
        <f t="shared" ref="K146:R146" si="55">SUM(K147:K147)</f>
        <v>6997200</v>
      </c>
      <c r="L146" s="96">
        <f t="shared" si="55"/>
        <v>999600</v>
      </c>
      <c r="M146" s="96">
        <f t="shared" si="55"/>
        <v>0</v>
      </c>
      <c r="N146" s="96">
        <f t="shared" si="55"/>
        <v>999600</v>
      </c>
      <c r="O146" s="96">
        <f t="shared" si="55"/>
        <v>0</v>
      </c>
      <c r="P146" s="96">
        <f t="shared" si="55"/>
        <v>0</v>
      </c>
      <c r="Q146" s="96">
        <f t="shared" si="55"/>
        <v>0</v>
      </c>
      <c r="R146" s="96">
        <f t="shared" si="55"/>
        <v>0</v>
      </c>
      <c r="S146" s="58">
        <f t="shared" si="48"/>
        <v>7996800</v>
      </c>
      <c r="T146" s="94">
        <f>H146-S146</f>
        <v>0</v>
      </c>
      <c r="U146" s="94"/>
    </row>
    <row r="147" spans="1:21" customFormat="1" ht="22.5" hidden="1" customHeight="1" x14ac:dyDescent="0.25">
      <c r="A147" s="67">
        <v>1</v>
      </c>
      <c r="B147" s="67" t="s">
        <v>70</v>
      </c>
      <c r="C147" s="66">
        <v>22</v>
      </c>
      <c r="D147" s="66">
        <v>2208010000</v>
      </c>
      <c r="E147" s="66" t="s">
        <v>305</v>
      </c>
      <c r="F147" s="65" t="s">
        <v>326</v>
      </c>
      <c r="G147" s="65" t="s">
        <v>325</v>
      </c>
      <c r="H147" s="64"/>
      <c r="I147" s="63">
        <v>7996800</v>
      </c>
      <c r="J147" s="64"/>
      <c r="K147" s="63">
        <v>6997200</v>
      </c>
      <c r="L147" s="63">
        <f>I147-K147</f>
        <v>999600</v>
      </c>
      <c r="M147" s="62"/>
      <c r="N147" s="62">
        <v>999600</v>
      </c>
      <c r="O147" s="81"/>
      <c r="P147" s="81"/>
      <c r="Q147" s="81"/>
      <c r="R147" s="81"/>
      <c r="S147" s="61">
        <f t="shared" si="48"/>
        <v>7996800</v>
      </c>
      <c r="T147" s="61">
        <f>I147-S147</f>
        <v>0</v>
      </c>
      <c r="U147" s="61" t="s">
        <v>324</v>
      </c>
    </row>
    <row r="148" spans="1:21" ht="12.75" hidden="1" customHeight="1" x14ac:dyDescent="0.2">
      <c r="A148" s="99">
        <v>1</v>
      </c>
      <c r="B148" s="99" t="s">
        <v>66</v>
      </c>
      <c r="C148" s="97">
        <v>22</v>
      </c>
      <c r="D148" s="97">
        <v>2209002001</v>
      </c>
      <c r="E148" s="97" t="s">
        <v>305</v>
      </c>
      <c r="F148" s="98" t="s">
        <v>323</v>
      </c>
      <c r="G148" s="97"/>
      <c r="H148" s="96">
        <v>33500000</v>
      </c>
      <c r="I148" s="96">
        <f>SUM(I149:I149)</f>
        <v>33500000</v>
      </c>
      <c r="J148" s="96">
        <f>H148-I148</f>
        <v>0</v>
      </c>
      <c r="K148" s="96">
        <f t="shared" ref="K148:R148" si="56">SUM(K149:K149)</f>
        <v>19348565</v>
      </c>
      <c r="L148" s="96">
        <f t="shared" si="56"/>
        <v>14151435</v>
      </c>
      <c r="M148" s="96">
        <f t="shared" si="56"/>
        <v>0</v>
      </c>
      <c r="N148" s="96">
        <f t="shared" si="56"/>
        <v>2800000</v>
      </c>
      <c r="O148" s="96">
        <f t="shared" si="56"/>
        <v>2800000</v>
      </c>
      <c r="P148" s="96">
        <f t="shared" si="56"/>
        <v>2800000</v>
      </c>
      <c r="Q148" s="96">
        <f t="shared" si="56"/>
        <v>2800000</v>
      </c>
      <c r="R148" s="96">
        <f t="shared" si="56"/>
        <v>2951435</v>
      </c>
      <c r="S148" s="58">
        <f t="shared" si="48"/>
        <v>33500000</v>
      </c>
      <c r="T148" s="94">
        <f>H148-S148</f>
        <v>0</v>
      </c>
      <c r="U148" s="94"/>
    </row>
    <row r="149" spans="1:21" customFormat="1" ht="45" hidden="1" customHeight="1" x14ac:dyDescent="0.25">
      <c r="A149" s="67">
        <v>1</v>
      </c>
      <c r="B149" s="67" t="s">
        <v>70</v>
      </c>
      <c r="C149" s="66">
        <v>22</v>
      </c>
      <c r="D149" s="66">
        <v>2209002001</v>
      </c>
      <c r="E149" s="66" t="s">
        <v>305</v>
      </c>
      <c r="F149" s="65" t="s">
        <v>323</v>
      </c>
      <c r="G149" s="65" t="s">
        <v>322</v>
      </c>
      <c r="H149" s="64"/>
      <c r="I149" s="63">
        <v>33500000</v>
      </c>
      <c r="J149" s="64"/>
      <c r="K149" s="63">
        <v>19348565</v>
      </c>
      <c r="L149" s="63">
        <f>I149-K149</f>
        <v>14151435</v>
      </c>
      <c r="M149" s="62"/>
      <c r="N149" s="62">
        <v>2800000</v>
      </c>
      <c r="O149" s="62">
        <v>2800000</v>
      </c>
      <c r="P149" s="62">
        <v>2800000</v>
      </c>
      <c r="Q149" s="62">
        <v>2800000</v>
      </c>
      <c r="R149" s="62">
        <v>2951435</v>
      </c>
      <c r="S149" s="61">
        <f t="shared" si="48"/>
        <v>33500000</v>
      </c>
      <c r="T149" s="61">
        <f>I149-S149</f>
        <v>0</v>
      </c>
      <c r="U149" s="61"/>
    </row>
    <row r="150" spans="1:21" ht="12.75" hidden="1" customHeight="1" x14ac:dyDescent="0.2">
      <c r="A150" s="99">
        <v>1</v>
      </c>
      <c r="B150" s="99" t="s">
        <v>66</v>
      </c>
      <c r="C150" s="97">
        <v>22</v>
      </c>
      <c r="D150" s="97">
        <v>2209002002</v>
      </c>
      <c r="E150" s="97" t="s">
        <v>305</v>
      </c>
      <c r="F150" s="98" t="s">
        <v>320</v>
      </c>
      <c r="G150" s="97"/>
      <c r="H150" s="96">
        <v>330000000</v>
      </c>
      <c r="I150" s="96">
        <f>SUM(I151:I152)</f>
        <v>330000000</v>
      </c>
      <c r="J150" s="96">
        <f>H150-I150</f>
        <v>0</v>
      </c>
      <c r="K150" s="96">
        <f t="shared" ref="K150:R150" si="57">SUM(K151:K152)</f>
        <v>170503868</v>
      </c>
      <c r="L150" s="96">
        <f t="shared" si="57"/>
        <v>159496132</v>
      </c>
      <c r="M150" s="96">
        <f t="shared" si="57"/>
        <v>26900000</v>
      </c>
      <c r="N150" s="96">
        <f t="shared" si="57"/>
        <v>25450000</v>
      </c>
      <c r="O150" s="96">
        <f t="shared" si="57"/>
        <v>25450000</v>
      </c>
      <c r="P150" s="96">
        <f t="shared" si="57"/>
        <v>25450000</v>
      </c>
      <c r="Q150" s="96">
        <f t="shared" si="57"/>
        <v>29642714</v>
      </c>
      <c r="R150" s="96">
        <f t="shared" si="57"/>
        <v>26603418</v>
      </c>
      <c r="S150" s="58">
        <f t="shared" si="48"/>
        <v>330000000</v>
      </c>
      <c r="T150" s="94">
        <f>H150-S150</f>
        <v>0</v>
      </c>
      <c r="U150" s="94"/>
    </row>
    <row r="151" spans="1:21" customFormat="1" ht="22.5" hidden="1" customHeight="1" x14ac:dyDescent="0.25">
      <c r="A151" s="67">
        <v>1</v>
      </c>
      <c r="B151" s="67" t="s">
        <v>70</v>
      </c>
      <c r="C151" s="66">
        <v>22</v>
      </c>
      <c r="D151" s="66">
        <v>2209002002</v>
      </c>
      <c r="E151" s="66" t="s">
        <v>305</v>
      </c>
      <c r="F151" s="65" t="s">
        <v>320</v>
      </c>
      <c r="G151" s="65" t="s">
        <v>321</v>
      </c>
      <c r="H151" s="64"/>
      <c r="I151" s="63">
        <v>16000000</v>
      </c>
      <c r="J151" s="64"/>
      <c r="K151" s="63">
        <v>7695590</v>
      </c>
      <c r="L151" s="63">
        <f>I151-K151</f>
        <v>8304410</v>
      </c>
      <c r="M151" s="62">
        <f>1450000*2</f>
        <v>2900000</v>
      </c>
      <c r="N151" s="62">
        <v>1450000</v>
      </c>
      <c r="O151" s="62">
        <v>1450000</v>
      </c>
      <c r="P151" s="62">
        <v>1450000</v>
      </c>
      <c r="Q151" s="62">
        <v>1054410</v>
      </c>
      <c r="R151" s="81"/>
      <c r="S151" s="61">
        <f t="shared" si="48"/>
        <v>16000000</v>
      </c>
      <c r="T151" s="61">
        <f>I151-S151</f>
        <v>0</v>
      </c>
      <c r="U151" s="61"/>
    </row>
    <row r="152" spans="1:21" customFormat="1" ht="22.5" hidden="1" customHeight="1" x14ac:dyDescent="0.25">
      <c r="A152" s="67">
        <v>1</v>
      </c>
      <c r="B152" s="67" t="s">
        <v>70</v>
      </c>
      <c r="C152" s="66">
        <v>22</v>
      </c>
      <c r="D152" s="66">
        <v>2209002002</v>
      </c>
      <c r="E152" s="66" t="s">
        <v>305</v>
      </c>
      <c r="F152" s="65" t="s">
        <v>320</v>
      </c>
      <c r="G152" s="65" t="s">
        <v>319</v>
      </c>
      <c r="H152" s="64"/>
      <c r="I152" s="63">
        <v>314000000</v>
      </c>
      <c r="J152" s="64"/>
      <c r="K152" s="63">
        <v>162808278</v>
      </c>
      <c r="L152" s="63">
        <f>I152-K152</f>
        <v>151191722</v>
      </c>
      <c r="M152" s="62">
        <v>24000000</v>
      </c>
      <c r="N152" s="62">
        <v>24000000</v>
      </c>
      <c r="O152" s="62">
        <v>24000000</v>
      </c>
      <c r="P152" s="62">
        <v>24000000</v>
      </c>
      <c r="Q152" s="62">
        <v>28588304</v>
      </c>
      <c r="R152" s="81">
        <v>26603418</v>
      </c>
      <c r="S152" s="61">
        <f t="shared" si="48"/>
        <v>314000000</v>
      </c>
      <c r="T152" s="61">
        <f>I152-S152</f>
        <v>0</v>
      </c>
      <c r="U152" s="61"/>
    </row>
    <row r="153" spans="1:21" ht="12.75" hidden="1" customHeight="1" x14ac:dyDescent="0.2">
      <c r="A153" s="99">
        <v>1</v>
      </c>
      <c r="B153" s="99" t="s">
        <v>66</v>
      </c>
      <c r="C153" s="97">
        <v>22</v>
      </c>
      <c r="D153" s="97">
        <v>2209999002</v>
      </c>
      <c r="E153" s="97" t="s">
        <v>305</v>
      </c>
      <c r="F153" s="98" t="s">
        <v>318</v>
      </c>
      <c r="G153" s="97"/>
      <c r="H153" s="96">
        <v>21600000</v>
      </c>
      <c r="I153" s="96">
        <f t="shared" ref="I153:R153" si="58">SUM(I154:I154)</f>
        <v>21600000</v>
      </c>
      <c r="J153" s="96">
        <f t="shared" si="58"/>
        <v>0</v>
      </c>
      <c r="K153" s="96">
        <f t="shared" si="58"/>
        <v>13569325</v>
      </c>
      <c r="L153" s="96">
        <f t="shared" si="58"/>
        <v>8030675</v>
      </c>
      <c r="M153" s="96">
        <f t="shared" si="58"/>
        <v>0</v>
      </c>
      <c r="N153" s="96">
        <f t="shared" si="58"/>
        <v>2048642</v>
      </c>
      <c r="O153" s="96">
        <f t="shared" si="58"/>
        <v>2063642</v>
      </c>
      <c r="P153" s="96">
        <f t="shared" si="58"/>
        <v>2078642</v>
      </c>
      <c r="Q153" s="96">
        <f t="shared" si="58"/>
        <v>1839749</v>
      </c>
      <c r="R153" s="96">
        <f t="shared" si="58"/>
        <v>0</v>
      </c>
      <c r="S153" s="58">
        <f t="shared" si="48"/>
        <v>21600000</v>
      </c>
      <c r="T153" s="94">
        <f>H153-S153</f>
        <v>0</v>
      </c>
      <c r="U153" s="94"/>
    </row>
    <row r="154" spans="1:21" customFormat="1" ht="22.5" hidden="1" customHeight="1" x14ac:dyDescent="0.25">
      <c r="A154" s="67">
        <v>1</v>
      </c>
      <c r="B154" s="67" t="s">
        <v>70</v>
      </c>
      <c r="C154" s="66">
        <v>22</v>
      </c>
      <c r="D154" s="66">
        <v>2209999002</v>
      </c>
      <c r="E154" s="66" t="s">
        <v>305</v>
      </c>
      <c r="F154" s="65" t="s">
        <v>318</v>
      </c>
      <c r="G154" s="65" t="s">
        <v>317</v>
      </c>
      <c r="H154" s="64"/>
      <c r="I154" s="63">
        <v>21600000</v>
      </c>
      <c r="J154" s="64"/>
      <c r="K154" s="63">
        <v>13569325</v>
      </c>
      <c r="L154" s="63">
        <f>I154-K154</f>
        <v>8030675</v>
      </c>
      <c r="M154" s="62"/>
      <c r="N154" s="62">
        <v>2048642</v>
      </c>
      <c r="O154" s="62">
        <v>2063642</v>
      </c>
      <c r="P154" s="62">
        <v>2078642</v>
      </c>
      <c r="Q154" s="62">
        <v>1839749</v>
      </c>
      <c r="R154" s="81"/>
      <c r="S154" s="61">
        <f t="shared" si="48"/>
        <v>21600000</v>
      </c>
      <c r="T154" s="61">
        <f>I154-S154</f>
        <v>0</v>
      </c>
      <c r="U154" s="61"/>
    </row>
    <row r="155" spans="1:21" ht="12.75" hidden="1" customHeight="1" x14ac:dyDescent="0.2">
      <c r="A155" s="99">
        <v>1</v>
      </c>
      <c r="B155" s="99" t="s">
        <v>66</v>
      </c>
      <c r="C155" s="97">
        <v>22</v>
      </c>
      <c r="D155" s="97">
        <v>2210002000</v>
      </c>
      <c r="E155" s="97" t="s">
        <v>305</v>
      </c>
      <c r="F155" s="98" t="s">
        <v>316</v>
      </c>
      <c r="G155" s="97"/>
      <c r="H155" s="96">
        <v>4066174</v>
      </c>
      <c r="I155" s="96">
        <f t="shared" ref="I155:R155" si="59">SUM(I156:I156)</f>
        <v>4066174</v>
      </c>
      <c r="J155" s="96">
        <f t="shared" si="59"/>
        <v>0</v>
      </c>
      <c r="K155" s="96">
        <f t="shared" si="59"/>
        <v>4066174</v>
      </c>
      <c r="L155" s="96">
        <f t="shared" si="59"/>
        <v>0</v>
      </c>
      <c r="M155" s="96">
        <f t="shared" si="59"/>
        <v>0</v>
      </c>
      <c r="N155" s="96">
        <f t="shared" si="59"/>
        <v>0</v>
      </c>
      <c r="O155" s="96">
        <f t="shared" si="59"/>
        <v>0</v>
      </c>
      <c r="P155" s="96">
        <f t="shared" si="59"/>
        <v>0</v>
      </c>
      <c r="Q155" s="96">
        <f t="shared" si="59"/>
        <v>0</v>
      </c>
      <c r="R155" s="96">
        <f t="shared" si="59"/>
        <v>0</v>
      </c>
      <c r="S155" s="58">
        <f t="shared" si="48"/>
        <v>4066174</v>
      </c>
      <c r="T155" s="94">
        <f>H155-S155</f>
        <v>0</v>
      </c>
      <c r="U155" s="94"/>
    </row>
    <row r="156" spans="1:21" customFormat="1" ht="22.5" hidden="1" customHeight="1" x14ac:dyDescent="0.25">
      <c r="A156" s="67">
        <v>1</v>
      </c>
      <c r="B156" s="67" t="s">
        <v>70</v>
      </c>
      <c r="C156" s="66">
        <v>22</v>
      </c>
      <c r="D156" s="66">
        <v>2210002000</v>
      </c>
      <c r="E156" s="66" t="s">
        <v>305</v>
      </c>
      <c r="F156" s="65" t="s">
        <v>316</v>
      </c>
      <c r="G156" s="65" t="s">
        <v>315</v>
      </c>
      <c r="H156" s="64"/>
      <c r="I156" s="63">
        <v>4066174</v>
      </c>
      <c r="J156" s="64"/>
      <c r="K156" s="63">
        <v>4066174</v>
      </c>
      <c r="L156" s="63">
        <f>I156-K156</f>
        <v>0</v>
      </c>
      <c r="M156" s="62"/>
      <c r="N156" s="62"/>
      <c r="O156" s="62"/>
      <c r="P156" s="62"/>
      <c r="Q156" s="62"/>
      <c r="R156" s="62"/>
      <c r="S156" s="61">
        <f t="shared" si="48"/>
        <v>4066174</v>
      </c>
      <c r="T156" s="61">
        <f>I156-S156</f>
        <v>0</v>
      </c>
      <c r="U156" s="61" t="s">
        <v>73</v>
      </c>
    </row>
    <row r="157" spans="1:21" ht="25.5" hidden="1" customHeight="1" x14ac:dyDescent="0.2">
      <c r="A157" s="99">
        <v>1</v>
      </c>
      <c r="B157" s="99" t="s">
        <v>66</v>
      </c>
      <c r="C157" s="97">
        <v>22</v>
      </c>
      <c r="D157" s="97">
        <v>2211003001</v>
      </c>
      <c r="E157" s="97" t="s">
        <v>305</v>
      </c>
      <c r="F157" s="98" t="s">
        <v>279</v>
      </c>
      <c r="G157" s="97"/>
      <c r="H157" s="96">
        <v>2934978</v>
      </c>
      <c r="I157" s="96">
        <f>SUM(I158:I159)</f>
        <v>2934978</v>
      </c>
      <c r="J157" s="96">
        <f>H157-I157</f>
        <v>0</v>
      </c>
      <c r="K157" s="96">
        <f t="shared" ref="K157:R157" si="60">SUM(K158:K159)</f>
        <v>1202486</v>
      </c>
      <c r="L157" s="96">
        <f t="shared" si="60"/>
        <v>1732492</v>
      </c>
      <c r="M157" s="105">
        <f t="shared" si="60"/>
        <v>215000</v>
      </c>
      <c r="N157" s="105">
        <f t="shared" si="60"/>
        <v>215000</v>
      </c>
      <c r="O157" s="105">
        <f t="shared" si="60"/>
        <v>215000</v>
      </c>
      <c r="P157" s="105">
        <f t="shared" si="60"/>
        <v>215000</v>
      </c>
      <c r="Q157" s="105">
        <f t="shared" si="60"/>
        <v>215000</v>
      </c>
      <c r="R157" s="105">
        <f t="shared" si="60"/>
        <v>657492</v>
      </c>
      <c r="S157" s="104">
        <f t="shared" si="48"/>
        <v>2934978</v>
      </c>
      <c r="T157" s="94">
        <f>H157-S157</f>
        <v>0</v>
      </c>
      <c r="U157" s="94"/>
    </row>
    <row r="158" spans="1:21" customFormat="1" ht="56.25" hidden="1" customHeight="1" x14ac:dyDescent="0.25">
      <c r="A158" s="67">
        <v>1</v>
      </c>
      <c r="B158" s="67" t="s">
        <v>70</v>
      </c>
      <c r="C158" s="66">
        <v>22</v>
      </c>
      <c r="D158" s="66">
        <v>2211003001</v>
      </c>
      <c r="E158" s="66" t="s">
        <v>305</v>
      </c>
      <c r="F158" s="65" t="s">
        <v>279</v>
      </c>
      <c r="G158" s="65" t="s">
        <v>314</v>
      </c>
      <c r="H158" s="64"/>
      <c r="I158" s="63">
        <v>2803498</v>
      </c>
      <c r="J158" s="64"/>
      <c r="K158" s="63">
        <v>1071006</v>
      </c>
      <c r="L158" s="63">
        <f>I158-K158</f>
        <v>1732492</v>
      </c>
      <c r="M158" s="62">
        <v>215000</v>
      </c>
      <c r="N158" s="62">
        <v>215000</v>
      </c>
      <c r="O158" s="62">
        <v>215000</v>
      </c>
      <c r="P158" s="62">
        <v>215000</v>
      </c>
      <c r="Q158" s="62">
        <v>215000</v>
      </c>
      <c r="R158" s="62">
        <v>657492</v>
      </c>
      <c r="S158" s="61">
        <f t="shared" ref="S158:S176" si="61">SUM(K158:R158)-L158</f>
        <v>2803498</v>
      </c>
      <c r="T158" s="61">
        <f>I158-S158</f>
        <v>0</v>
      </c>
      <c r="U158" s="61"/>
    </row>
    <row r="159" spans="1:21" customFormat="1" ht="22.5" hidden="1" customHeight="1" x14ac:dyDescent="0.25">
      <c r="A159" s="67">
        <v>1</v>
      </c>
      <c r="B159" s="67" t="s">
        <v>70</v>
      </c>
      <c r="C159" s="66">
        <v>22</v>
      </c>
      <c r="D159" s="66">
        <v>2211003001</v>
      </c>
      <c r="E159" s="66" t="s">
        <v>305</v>
      </c>
      <c r="F159" s="65" t="s">
        <v>279</v>
      </c>
      <c r="G159" s="65" t="s">
        <v>313</v>
      </c>
      <c r="H159" s="64"/>
      <c r="I159" s="63">
        <v>131480</v>
      </c>
      <c r="J159" s="64"/>
      <c r="K159" s="63">
        <v>131480</v>
      </c>
      <c r="L159" s="63">
        <f>I159-K159</f>
        <v>0</v>
      </c>
      <c r="M159" s="62"/>
      <c r="N159" s="62"/>
      <c r="O159" s="62"/>
      <c r="P159" s="62"/>
      <c r="Q159" s="62"/>
      <c r="R159" s="62"/>
      <c r="S159" s="61">
        <f t="shared" si="61"/>
        <v>131480</v>
      </c>
      <c r="T159" s="61">
        <f>I159-S159</f>
        <v>0</v>
      </c>
      <c r="U159" s="61" t="s">
        <v>73</v>
      </c>
    </row>
    <row r="160" spans="1:21" ht="12.75" hidden="1" customHeight="1" x14ac:dyDescent="0.2">
      <c r="A160" s="99">
        <v>1</v>
      </c>
      <c r="B160" s="99" t="s">
        <v>66</v>
      </c>
      <c r="C160" s="97">
        <v>22</v>
      </c>
      <c r="D160" s="97">
        <v>2212002000</v>
      </c>
      <c r="E160" s="97" t="s">
        <v>305</v>
      </c>
      <c r="F160" s="98" t="s">
        <v>312</v>
      </c>
      <c r="G160" s="97"/>
      <c r="H160" s="96">
        <v>5900000</v>
      </c>
      <c r="I160" s="96">
        <f>SUM(I161:I162)</f>
        <v>1535560</v>
      </c>
      <c r="J160" s="96">
        <f>H160-I160</f>
        <v>4364440</v>
      </c>
      <c r="K160" s="96">
        <f t="shared" ref="K160:R160" si="62">SUM(K161:K162)</f>
        <v>1535560</v>
      </c>
      <c r="L160" s="96">
        <f t="shared" si="62"/>
        <v>0</v>
      </c>
      <c r="M160" s="96">
        <f t="shared" si="62"/>
        <v>0</v>
      </c>
      <c r="N160" s="96">
        <f t="shared" si="62"/>
        <v>100000</v>
      </c>
      <c r="O160" s="96">
        <f t="shared" si="62"/>
        <v>300000</v>
      </c>
      <c r="P160" s="96">
        <f t="shared" si="62"/>
        <v>300000</v>
      </c>
      <c r="Q160" s="96">
        <f t="shared" si="62"/>
        <v>300000</v>
      </c>
      <c r="R160" s="96">
        <f t="shared" si="62"/>
        <v>3364440</v>
      </c>
      <c r="S160" s="58">
        <f t="shared" si="61"/>
        <v>5900000</v>
      </c>
      <c r="T160" s="94">
        <f>H160-S160</f>
        <v>0</v>
      </c>
      <c r="U160" s="94"/>
    </row>
    <row r="161" spans="1:21" customFormat="1" ht="15" hidden="1" customHeight="1" x14ac:dyDescent="0.25">
      <c r="A161" s="67">
        <v>1</v>
      </c>
      <c r="B161" s="67" t="s">
        <v>70</v>
      </c>
      <c r="C161" s="66">
        <v>22</v>
      </c>
      <c r="D161" s="66">
        <v>2212002000</v>
      </c>
      <c r="E161" s="66" t="s">
        <v>305</v>
      </c>
      <c r="F161" s="65" t="s">
        <v>312</v>
      </c>
      <c r="G161" s="65" t="s">
        <v>266</v>
      </c>
      <c r="H161" s="64"/>
      <c r="I161" s="63">
        <v>1535560</v>
      </c>
      <c r="J161" s="64"/>
      <c r="K161" s="63">
        <v>1535560</v>
      </c>
      <c r="L161" s="63">
        <f>I161-K161</f>
        <v>0</v>
      </c>
      <c r="M161" s="62"/>
      <c r="N161" s="62"/>
      <c r="O161" s="62"/>
      <c r="P161" s="62"/>
      <c r="Q161" s="62"/>
      <c r="R161" s="62"/>
      <c r="S161" s="61">
        <f t="shared" si="61"/>
        <v>1535560</v>
      </c>
      <c r="T161" s="61">
        <f>I161-S161</f>
        <v>0</v>
      </c>
      <c r="U161" s="61" t="s">
        <v>73</v>
      </c>
    </row>
    <row r="162" spans="1:21" customFormat="1" ht="15" hidden="1" customHeight="1" x14ac:dyDescent="0.25">
      <c r="A162" s="67">
        <v>1</v>
      </c>
      <c r="B162" s="67" t="s">
        <v>70</v>
      </c>
      <c r="C162" s="66">
        <v>22</v>
      </c>
      <c r="D162" s="66">
        <v>2212002000</v>
      </c>
      <c r="E162" s="66" t="s">
        <v>305</v>
      </c>
      <c r="F162" s="65" t="s">
        <v>312</v>
      </c>
      <c r="G162" s="65" t="s">
        <v>67</v>
      </c>
      <c r="H162" s="64"/>
      <c r="I162" s="63"/>
      <c r="J162" s="64"/>
      <c r="K162" s="63"/>
      <c r="L162" s="63">
        <f>I162-K162</f>
        <v>0</v>
      </c>
      <c r="M162" s="62"/>
      <c r="N162" s="62">
        <v>100000</v>
      </c>
      <c r="O162" s="62">
        <v>300000</v>
      </c>
      <c r="P162" s="62">
        <v>300000</v>
      </c>
      <c r="Q162" s="62">
        <v>300000</v>
      </c>
      <c r="R162" s="62">
        <v>3364440</v>
      </c>
      <c r="S162" s="61">
        <f t="shared" si="61"/>
        <v>4364440</v>
      </c>
      <c r="T162" s="61">
        <f>I162-S162</f>
        <v>-4364440</v>
      </c>
      <c r="U162" s="61"/>
    </row>
    <row r="163" spans="1:21" ht="12.75" hidden="1" customHeight="1" x14ac:dyDescent="0.2">
      <c r="A163" s="99">
        <v>1</v>
      </c>
      <c r="B163" s="99" t="s">
        <v>66</v>
      </c>
      <c r="C163" s="97">
        <v>22</v>
      </c>
      <c r="D163" s="97">
        <v>2212999000</v>
      </c>
      <c r="E163" s="97" t="s">
        <v>305</v>
      </c>
      <c r="F163" s="98" t="s">
        <v>36</v>
      </c>
      <c r="G163" s="97"/>
      <c r="H163" s="96">
        <f>100000+5803200+10000000+462252</f>
        <v>16365452</v>
      </c>
      <c r="I163" s="96">
        <v>0</v>
      </c>
      <c r="J163" s="96">
        <f>H163-I163</f>
        <v>16365452</v>
      </c>
      <c r="K163" s="96">
        <v>0</v>
      </c>
      <c r="L163" s="96">
        <v>0</v>
      </c>
      <c r="M163" s="96"/>
      <c r="N163" s="96"/>
      <c r="O163" s="96"/>
      <c r="P163" s="96"/>
      <c r="Q163" s="96"/>
      <c r="R163" s="96">
        <v>16365452</v>
      </c>
      <c r="S163" s="57">
        <f t="shared" si="61"/>
        <v>16365452</v>
      </c>
      <c r="T163" s="94">
        <f>H163-S163</f>
        <v>0</v>
      </c>
      <c r="U163" s="94"/>
    </row>
    <row r="164" spans="1:21" s="54" customFormat="1" ht="12.75" customHeight="1" x14ac:dyDescent="0.2">
      <c r="A164" s="60">
        <v>1</v>
      </c>
      <c r="B164" s="60" t="s">
        <v>66</v>
      </c>
      <c r="C164" s="59">
        <v>29</v>
      </c>
      <c r="D164" s="59">
        <v>29</v>
      </c>
      <c r="E164" s="59" t="s">
        <v>305</v>
      </c>
      <c r="F164" s="71" t="s">
        <v>92</v>
      </c>
      <c r="G164" s="59" t="s">
        <v>95</v>
      </c>
      <c r="H164" s="58">
        <f t="shared" ref="H164:R164" si="63">H165+H170</f>
        <v>15954000</v>
      </c>
      <c r="I164" s="58">
        <f t="shared" si="63"/>
        <v>15932977</v>
      </c>
      <c r="J164" s="58">
        <f t="shared" si="63"/>
        <v>21023</v>
      </c>
      <c r="K164" s="58">
        <f t="shared" si="63"/>
        <v>10658764</v>
      </c>
      <c r="L164" s="58">
        <f t="shared" si="63"/>
        <v>5274213</v>
      </c>
      <c r="M164" s="58">
        <f t="shared" si="63"/>
        <v>5274213</v>
      </c>
      <c r="N164" s="58">
        <f t="shared" si="63"/>
        <v>0</v>
      </c>
      <c r="O164" s="58">
        <f t="shared" si="63"/>
        <v>0</v>
      </c>
      <c r="P164" s="58">
        <f t="shared" si="63"/>
        <v>0</v>
      </c>
      <c r="Q164" s="58">
        <f t="shared" si="63"/>
        <v>0</v>
      </c>
      <c r="R164" s="58">
        <f t="shared" si="63"/>
        <v>0</v>
      </c>
      <c r="S164" s="58">
        <f t="shared" si="61"/>
        <v>15932977</v>
      </c>
      <c r="T164" s="57">
        <f>H164-S164</f>
        <v>21023</v>
      </c>
      <c r="U164" s="57" t="s">
        <v>306</v>
      </c>
    </row>
    <row r="165" spans="1:21" ht="12.75" customHeight="1" x14ac:dyDescent="0.2">
      <c r="A165" s="99">
        <v>1</v>
      </c>
      <c r="B165" s="99" t="s">
        <v>66</v>
      </c>
      <c r="C165" s="97">
        <v>29</v>
      </c>
      <c r="D165" s="97">
        <v>2904001000</v>
      </c>
      <c r="E165" s="97" t="s">
        <v>305</v>
      </c>
      <c r="F165" s="98" t="s">
        <v>308</v>
      </c>
      <c r="G165" s="97"/>
      <c r="H165" s="96">
        <v>14364000</v>
      </c>
      <c r="I165" s="96">
        <f>SUM(I166:I169)</f>
        <v>14362248</v>
      </c>
      <c r="J165" s="96">
        <f>H165-I165</f>
        <v>1752</v>
      </c>
      <c r="K165" s="96">
        <f t="shared" ref="K165:R165" si="64">SUM(K166:K169)</f>
        <v>9088035</v>
      </c>
      <c r="L165" s="96">
        <f t="shared" si="64"/>
        <v>5274213</v>
      </c>
      <c r="M165" s="95">
        <f t="shared" si="64"/>
        <v>5274213</v>
      </c>
      <c r="N165" s="95">
        <f t="shared" si="64"/>
        <v>0</v>
      </c>
      <c r="O165" s="95">
        <f t="shared" si="64"/>
        <v>0</v>
      </c>
      <c r="P165" s="95">
        <f t="shared" si="64"/>
        <v>0</v>
      </c>
      <c r="Q165" s="95">
        <f t="shared" si="64"/>
        <v>0</v>
      </c>
      <c r="R165" s="95">
        <f t="shared" si="64"/>
        <v>0</v>
      </c>
      <c r="S165" s="94">
        <f t="shared" si="61"/>
        <v>14362248</v>
      </c>
      <c r="T165" s="94">
        <f>H165-S165</f>
        <v>1752</v>
      </c>
      <c r="U165" s="94" t="s">
        <v>306</v>
      </c>
    </row>
    <row r="166" spans="1:21" customFormat="1" ht="22.5" customHeight="1" x14ac:dyDescent="0.25">
      <c r="A166" s="65">
        <v>1</v>
      </c>
      <c r="B166" s="65" t="s">
        <v>70</v>
      </c>
      <c r="C166" s="65">
        <v>29</v>
      </c>
      <c r="D166" s="65">
        <v>2904001000</v>
      </c>
      <c r="E166" s="65" t="s">
        <v>305</v>
      </c>
      <c r="F166" s="65" t="s">
        <v>308</v>
      </c>
      <c r="G166" s="65" t="s">
        <v>311</v>
      </c>
      <c r="H166" s="64"/>
      <c r="I166" s="63">
        <v>3929826</v>
      </c>
      <c r="J166" s="64"/>
      <c r="K166" s="64"/>
      <c r="L166" s="63">
        <f>I166-K166</f>
        <v>3929826</v>
      </c>
      <c r="M166" s="62">
        <v>3929826</v>
      </c>
      <c r="N166" s="62"/>
      <c r="O166" s="62"/>
      <c r="P166" s="62"/>
      <c r="Q166" s="62"/>
      <c r="R166" s="62"/>
      <c r="S166" s="61">
        <f t="shared" si="61"/>
        <v>3929826</v>
      </c>
      <c r="T166" s="61">
        <f>I166-S166</f>
        <v>0</v>
      </c>
      <c r="U166" s="61"/>
    </row>
    <row r="167" spans="1:21" customFormat="1" ht="32.1" customHeight="1" x14ac:dyDescent="0.25">
      <c r="A167" s="65">
        <v>1</v>
      </c>
      <c r="B167" s="65" t="s">
        <v>70</v>
      </c>
      <c r="C167" s="65">
        <v>29</v>
      </c>
      <c r="D167" s="65">
        <v>2904001000</v>
      </c>
      <c r="E167" s="65" t="s">
        <v>305</v>
      </c>
      <c r="F167" s="65" t="s">
        <v>308</v>
      </c>
      <c r="G167" s="65" t="s">
        <v>310</v>
      </c>
      <c r="H167" s="64"/>
      <c r="I167" s="63">
        <v>6648768</v>
      </c>
      <c r="J167" s="64"/>
      <c r="K167" s="63">
        <v>6648768</v>
      </c>
      <c r="L167" s="63">
        <f>I167-K167</f>
        <v>0</v>
      </c>
      <c r="M167" s="62"/>
      <c r="N167" s="62"/>
      <c r="O167" s="62"/>
      <c r="P167" s="62"/>
      <c r="Q167" s="62"/>
      <c r="R167" s="62"/>
      <c r="S167" s="61">
        <f t="shared" si="61"/>
        <v>6648768</v>
      </c>
      <c r="T167" s="61">
        <f>I167-S167</f>
        <v>0</v>
      </c>
      <c r="U167" s="61" t="s">
        <v>73</v>
      </c>
    </row>
    <row r="168" spans="1:21" customFormat="1" ht="48.6" customHeight="1" x14ac:dyDescent="0.25">
      <c r="A168" s="65">
        <v>1</v>
      </c>
      <c r="B168" s="65" t="s">
        <v>70</v>
      </c>
      <c r="C168" s="65">
        <v>29</v>
      </c>
      <c r="D168" s="65">
        <v>2904001000</v>
      </c>
      <c r="E168" s="65" t="s">
        <v>305</v>
      </c>
      <c r="F168" s="65" t="s">
        <v>308</v>
      </c>
      <c r="G168" s="65" t="s">
        <v>309</v>
      </c>
      <c r="H168" s="64"/>
      <c r="I168" s="63">
        <v>1344387</v>
      </c>
      <c r="J168" s="64"/>
      <c r="K168" s="64"/>
      <c r="L168" s="63">
        <f>I168-K168</f>
        <v>1344387</v>
      </c>
      <c r="M168" s="81">
        <v>1344387</v>
      </c>
      <c r="N168" s="62"/>
      <c r="O168" s="62"/>
      <c r="P168" s="62"/>
      <c r="Q168" s="62"/>
      <c r="R168" s="62"/>
      <c r="S168" s="61">
        <f t="shared" si="61"/>
        <v>1344387</v>
      </c>
      <c r="T168" s="61">
        <f>I168-S168</f>
        <v>0</v>
      </c>
      <c r="U168" s="61"/>
    </row>
    <row r="169" spans="1:21" customFormat="1" ht="33.6" customHeight="1" x14ac:dyDescent="0.25">
      <c r="A169" s="65">
        <v>1</v>
      </c>
      <c r="B169" s="65" t="s">
        <v>70</v>
      </c>
      <c r="C169" s="65">
        <v>29</v>
      </c>
      <c r="D169" s="65">
        <v>2904001000</v>
      </c>
      <c r="E169" s="65" t="s">
        <v>305</v>
      </c>
      <c r="F169" s="65" t="s">
        <v>308</v>
      </c>
      <c r="G169" s="65" t="s">
        <v>307</v>
      </c>
      <c r="H169" s="64"/>
      <c r="I169" s="63">
        <v>2439267</v>
      </c>
      <c r="J169" s="64"/>
      <c r="K169" s="63">
        <v>2439267</v>
      </c>
      <c r="L169" s="63">
        <f>I169-K169</f>
        <v>0</v>
      </c>
      <c r="M169" s="81"/>
      <c r="N169" s="62"/>
      <c r="O169" s="62"/>
      <c r="P169" s="62"/>
      <c r="Q169" s="62"/>
      <c r="R169" s="62"/>
      <c r="S169" s="61">
        <f t="shared" si="61"/>
        <v>2439267</v>
      </c>
      <c r="T169" s="61">
        <f>I169-S169</f>
        <v>0</v>
      </c>
      <c r="U169" s="61" t="s">
        <v>73</v>
      </c>
    </row>
    <row r="170" spans="1:21" ht="12.75" customHeight="1" x14ac:dyDescent="0.2">
      <c r="A170" s="99">
        <v>1</v>
      </c>
      <c r="B170" s="99" t="s">
        <v>66</v>
      </c>
      <c r="C170" s="97">
        <v>29</v>
      </c>
      <c r="D170" s="97">
        <v>2905001000</v>
      </c>
      <c r="E170" s="97" t="s">
        <v>305</v>
      </c>
      <c r="F170" s="98" t="s">
        <v>304</v>
      </c>
      <c r="G170" s="97"/>
      <c r="H170" s="96">
        <v>1590000</v>
      </c>
      <c r="I170" s="96">
        <f>SUM(I171:I171)</f>
        <v>1570729</v>
      </c>
      <c r="J170" s="96">
        <f>H170-I170</f>
        <v>19271</v>
      </c>
      <c r="K170" s="96">
        <f t="shared" ref="K170:R170" si="65">SUM(K171:K171)</f>
        <v>1570729</v>
      </c>
      <c r="L170" s="96">
        <f t="shared" si="65"/>
        <v>0</v>
      </c>
      <c r="M170" s="96">
        <f t="shared" si="65"/>
        <v>0</v>
      </c>
      <c r="N170" s="96">
        <f t="shared" si="65"/>
        <v>0</v>
      </c>
      <c r="O170" s="96">
        <f t="shared" si="65"/>
        <v>0</v>
      </c>
      <c r="P170" s="96">
        <f t="shared" si="65"/>
        <v>0</v>
      </c>
      <c r="Q170" s="96">
        <f t="shared" si="65"/>
        <v>0</v>
      </c>
      <c r="R170" s="96">
        <f t="shared" si="65"/>
        <v>0</v>
      </c>
      <c r="S170" s="58">
        <f t="shared" si="61"/>
        <v>1570729</v>
      </c>
      <c r="T170" s="94">
        <f>H170-S170</f>
        <v>19271</v>
      </c>
      <c r="U170" s="94" t="s">
        <v>306</v>
      </c>
    </row>
    <row r="171" spans="1:21" customFormat="1" ht="45" customHeight="1" x14ac:dyDescent="0.25">
      <c r="A171" s="67">
        <v>1</v>
      </c>
      <c r="B171" s="67" t="s">
        <v>70</v>
      </c>
      <c r="C171" s="66">
        <v>29</v>
      </c>
      <c r="D171" s="66">
        <v>2905001000</v>
      </c>
      <c r="E171" s="66" t="s">
        <v>305</v>
      </c>
      <c r="F171" s="65" t="s">
        <v>304</v>
      </c>
      <c r="G171" s="65" t="s">
        <v>303</v>
      </c>
      <c r="H171" s="64"/>
      <c r="I171" s="63">
        <v>1570729</v>
      </c>
      <c r="J171" s="64"/>
      <c r="K171" s="63">
        <v>1570729</v>
      </c>
      <c r="L171" s="63">
        <f>I171-K171</f>
        <v>0</v>
      </c>
      <c r="M171" s="62"/>
      <c r="N171" s="62"/>
      <c r="O171" s="62"/>
      <c r="P171" s="62"/>
      <c r="Q171" s="62"/>
      <c r="R171" s="62"/>
      <c r="S171" s="61">
        <f t="shared" si="61"/>
        <v>1570729</v>
      </c>
      <c r="T171" s="61">
        <f>I171-S171</f>
        <v>0</v>
      </c>
      <c r="U171" s="61" t="s">
        <v>73</v>
      </c>
    </row>
    <row r="172" spans="1:21" s="54" customFormat="1" ht="12.75" hidden="1" customHeight="1" x14ac:dyDescent="0.2">
      <c r="A172" s="60">
        <v>1</v>
      </c>
      <c r="B172" s="60" t="s">
        <v>66</v>
      </c>
      <c r="C172" s="59">
        <v>21</v>
      </c>
      <c r="D172" s="59">
        <v>21</v>
      </c>
      <c r="E172" s="59" t="s">
        <v>270</v>
      </c>
      <c r="F172" s="59" t="s">
        <v>241</v>
      </c>
      <c r="G172" s="59" t="s">
        <v>241</v>
      </c>
      <c r="H172" s="58">
        <f t="shared" ref="H172:R172" si="66">H173+H174+H175</f>
        <v>48045089</v>
      </c>
      <c r="I172" s="58">
        <f t="shared" si="66"/>
        <v>47926894</v>
      </c>
      <c r="J172" s="58">
        <f t="shared" si="66"/>
        <v>118195</v>
      </c>
      <c r="K172" s="58">
        <f t="shared" si="66"/>
        <v>24063412</v>
      </c>
      <c r="L172" s="58">
        <f t="shared" si="66"/>
        <v>23863482</v>
      </c>
      <c r="M172" s="58">
        <f t="shared" si="66"/>
        <v>3977247</v>
      </c>
      <c r="N172" s="58">
        <f t="shared" si="66"/>
        <v>3977247</v>
      </c>
      <c r="O172" s="58">
        <f t="shared" si="66"/>
        <v>3977247</v>
      </c>
      <c r="P172" s="58">
        <f t="shared" si="66"/>
        <v>3977247</v>
      </c>
      <c r="Q172" s="58">
        <f t="shared" si="66"/>
        <v>4095442</v>
      </c>
      <c r="R172" s="58">
        <f t="shared" si="66"/>
        <v>3977247</v>
      </c>
      <c r="S172" s="57">
        <f t="shared" si="61"/>
        <v>48045089</v>
      </c>
      <c r="T172" s="57">
        <f t="shared" ref="T172:T177" si="67">H172-S172</f>
        <v>0</v>
      </c>
      <c r="U172" s="57"/>
    </row>
    <row r="173" spans="1:21" ht="12.75" hidden="1" customHeight="1" x14ac:dyDescent="0.2">
      <c r="A173" s="99">
        <v>1</v>
      </c>
      <c r="B173" s="99" t="s">
        <v>66</v>
      </c>
      <c r="C173" s="97">
        <v>21</v>
      </c>
      <c r="D173" s="97">
        <v>2103001001</v>
      </c>
      <c r="E173" s="97" t="s">
        <v>270</v>
      </c>
      <c r="F173" s="97" t="s">
        <v>90</v>
      </c>
      <c r="G173" s="97"/>
      <c r="H173" s="96">
        <v>47726964</v>
      </c>
      <c r="I173" s="96">
        <v>47726964</v>
      </c>
      <c r="J173" s="96">
        <v>0</v>
      </c>
      <c r="K173" s="96">
        <v>23863482</v>
      </c>
      <c r="L173" s="96">
        <v>23863482</v>
      </c>
      <c r="M173" s="96">
        <v>3977247</v>
      </c>
      <c r="N173" s="96">
        <v>3977247</v>
      </c>
      <c r="O173" s="96">
        <v>3977247</v>
      </c>
      <c r="P173" s="96">
        <v>3977247</v>
      </c>
      <c r="Q173" s="96">
        <v>3977247</v>
      </c>
      <c r="R173" s="96">
        <v>3977247</v>
      </c>
      <c r="S173" s="103">
        <f t="shared" si="61"/>
        <v>47726964</v>
      </c>
      <c r="T173" s="94">
        <f t="shared" si="67"/>
        <v>0</v>
      </c>
      <c r="U173" s="94"/>
    </row>
    <row r="174" spans="1:21" ht="12.75" hidden="1" customHeight="1" x14ac:dyDescent="0.2">
      <c r="A174" s="99">
        <v>1</v>
      </c>
      <c r="B174" s="99" t="s">
        <v>66</v>
      </c>
      <c r="C174" s="97">
        <v>21</v>
      </c>
      <c r="D174" s="97">
        <v>2103001002</v>
      </c>
      <c r="E174" s="97" t="s">
        <v>270</v>
      </c>
      <c r="F174" s="98" t="s">
        <v>88</v>
      </c>
      <c r="G174" s="97"/>
      <c r="H174" s="96">
        <v>60484</v>
      </c>
      <c r="I174" s="96">
        <v>0</v>
      </c>
      <c r="J174" s="96">
        <v>60484</v>
      </c>
      <c r="K174" s="96">
        <v>0</v>
      </c>
      <c r="L174" s="96">
        <v>0</v>
      </c>
      <c r="M174" s="96"/>
      <c r="N174" s="96"/>
      <c r="O174" s="96"/>
      <c r="P174" s="96"/>
      <c r="Q174" s="96">
        <v>60484</v>
      </c>
      <c r="R174" s="96"/>
      <c r="S174" s="103">
        <f t="shared" si="61"/>
        <v>60484</v>
      </c>
      <c r="T174" s="94">
        <f t="shared" si="67"/>
        <v>0</v>
      </c>
      <c r="U174" s="94"/>
    </row>
    <row r="175" spans="1:21" ht="12.75" hidden="1" customHeight="1" x14ac:dyDescent="0.2">
      <c r="A175" s="99">
        <v>1</v>
      </c>
      <c r="B175" s="99" t="s">
        <v>66</v>
      </c>
      <c r="C175" s="97">
        <v>21</v>
      </c>
      <c r="D175" s="97">
        <v>2102004006</v>
      </c>
      <c r="E175" s="97" t="s">
        <v>270</v>
      </c>
      <c r="F175" s="98" t="s">
        <v>88</v>
      </c>
      <c r="G175" s="97"/>
      <c r="H175" s="96">
        <v>257641</v>
      </c>
      <c r="I175" s="96">
        <v>199930</v>
      </c>
      <c r="J175" s="96">
        <v>57711</v>
      </c>
      <c r="K175" s="96">
        <v>199930</v>
      </c>
      <c r="L175" s="96">
        <v>0</v>
      </c>
      <c r="M175" s="96"/>
      <c r="N175" s="96"/>
      <c r="O175" s="96"/>
      <c r="P175" s="96"/>
      <c r="Q175" s="96">
        <v>57711</v>
      </c>
      <c r="R175" s="96"/>
      <c r="S175" s="103">
        <f t="shared" si="61"/>
        <v>257641</v>
      </c>
      <c r="T175" s="94">
        <f t="shared" si="67"/>
        <v>0</v>
      </c>
      <c r="U175" s="94"/>
    </row>
    <row r="176" spans="1:21" s="54" customFormat="1" ht="12.75" hidden="1" customHeight="1" x14ac:dyDescent="0.2">
      <c r="A176" s="60">
        <v>1</v>
      </c>
      <c r="B176" s="60" t="s">
        <v>66</v>
      </c>
      <c r="C176" s="59">
        <v>22</v>
      </c>
      <c r="D176" s="59">
        <v>22</v>
      </c>
      <c r="E176" s="59" t="s">
        <v>270</v>
      </c>
      <c r="F176" s="71" t="s">
        <v>81</v>
      </c>
      <c r="G176" s="59" t="s">
        <v>86</v>
      </c>
      <c r="H176" s="58">
        <v>338033020</v>
      </c>
      <c r="I176" s="58">
        <v>276625265</v>
      </c>
      <c r="J176" s="58">
        <v>61407755</v>
      </c>
      <c r="K176" s="58">
        <v>175828386</v>
      </c>
      <c r="L176" s="58">
        <v>100796879</v>
      </c>
      <c r="M176" s="58">
        <f t="shared" ref="M176:R176" si="68">M177+M180+M184+M187+M192+M194+M196</f>
        <v>23202639</v>
      </c>
      <c r="N176" s="58">
        <f t="shared" si="68"/>
        <v>33782200</v>
      </c>
      <c r="O176" s="58">
        <f t="shared" si="68"/>
        <v>14895338</v>
      </c>
      <c r="P176" s="58">
        <f t="shared" si="68"/>
        <v>11386723</v>
      </c>
      <c r="Q176" s="58">
        <f t="shared" si="68"/>
        <v>63025156</v>
      </c>
      <c r="R176" s="58">
        <f t="shared" si="68"/>
        <v>15912578</v>
      </c>
      <c r="S176" s="58">
        <f t="shared" si="61"/>
        <v>338033020</v>
      </c>
      <c r="T176" s="58">
        <f t="shared" si="67"/>
        <v>0</v>
      </c>
      <c r="U176" s="57"/>
    </row>
    <row r="177" spans="1:21" ht="25.5" hidden="1" customHeight="1" x14ac:dyDescent="0.2">
      <c r="A177" s="99">
        <v>1</v>
      </c>
      <c r="B177" s="99" t="s">
        <v>66</v>
      </c>
      <c r="C177" s="97">
        <v>22</v>
      </c>
      <c r="D177" s="97">
        <v>2204009000</v>
      </c>
      <c r="E177" s="97" t="s">
        <v>270</v>
      </c>
      <c r="F177" s="98" t="s">
        <v>302</v>
      </c>
      <c r="G177" s="97"/>
      <c r="H177" s="96">
        <v>14209577</v>
      </c>
      <c r="I177" s="96">
        <v>11954497</v>
      </c>
      <c r="J177" s="96">
        <v>2255080</v>
      </c>
      <c r="K177" s="96">
        <v>11954497</v>
      </c>
      <c r="L177" s="96"/>
      <c r="M177" s="96">
        <f t="shared" ref="M177:S177" si="69">SUM(M178:M179)</f>
        <v>0</v>
      </c>
      <c r="N177" s="96">
        <f t="shared" si="69"/>
        <v>0</v>
      </c>
      <c r="O177" s="96">
        <f t="shared" si="69"/>
        <v>2255080</v>
      </c>
      <c r="P177" s="96">
        <f t="shared" si="69"/>
        <v>0</v>
      </c>
      <c r="Q177" s="96">
        <f t="shared" si="69"/>
        <v>0</v>
      </c>
      <c r="R177" s="96">
        <f t="shared" si="69"/>
        <v>0</v>
      </c>
      <c r="S177" s="96">
        <f t="shared" si="69"/>
        <v>14209577</v>
      </c>
      <c r="T177" s="94">
        <f t="shared" si="67"/>
        <v>0</v>
      </c>
      <c r="U177" s="94"/>
    </row>
    <row r="178" spans="1:21" customFormat="1" ht="22.5" hidden="1" customHeight="1" x14ac:dyDescent="0.25">
      <c r="A178" s="67">
        <v>1</v>
      </c>
      <c r="B178" s="67" t="s">
        <v>70</v>
      </c>
      <c r="C178" s="66">
        <v>22</v>
      </c>
      <c r="D178" s="66">
        <v>2204009000</v>
      </c>
      <c r="E178" s="66" t="s">
        <v>270</v>
      </c>
      <c r="F178" s="65" t="s">
        <v>302</v>
      </c>
      <c r="G178" s="65" t="s">
        <v>266</v>
      </c>
      <c r="H178" s="64"/>
      <c r="I178" s="63">
        <v>11954497</v>
      </c>
      <c r="J178" s="64"/>
      <c r="K178" s="63">
        <v>11954497</v>
      </c>
      <c r="L178" s="63">
        <f>I178-K178</f>
        <v>0</v>
      </c>
      <c r="M178" s="62"/>
      <c r="N178" s="62"/>
      <c r="O178" s="62"/>
      <c r="P178" s="62"/>
      <c r="Q178" s="62"/>
      <c r="R178" s="62"/>
      <c r="S178" s="61">
        <f t="shared" ref="S178:S209" si="70">SUM(K178:R178)-L178</f>
        <v>11954497</v>
      </c>
      <c r="T178" s="61">
        <f>I178-S178</f>
        <v>0</v>
      </c>
      <c r="U178" s="61" t="s">
        <v>73</v>
      </c>
    </row>
    <row r="179" spans="1:21" customFormat="1" ht="22.5" hidden="1" customHeight="1" x14ac:dyDescent="0.25">
      <c r="A179" s="67">
        <v>1</v>
      </c>
      <c r="B179" s="67" t="s">
        <v>70</v>
      </c>
      <c r="C179" s="66">
        <v>22</v>
      </c>
      <c r="D179" s="66">
        <v>2204009000</v>
      </c>
      <c r="E179" s="66" t="s">
        <v>270</v>
      </c>
      <c r="F179" s="65" t="s">
        <v>302</v>
      </c>
      <c r="G179" s="65" t="s">
        <v>301</v>
      </c>
      <c r="H179" s="64"/>
      <c r="I179" s="63"/>
      <c r="J179" s="64"/>
      <c r="K179" s="63"/>
      <c r="L179" s="63">
        <f>I179-K179</f>
        <v>0</v>
      </c>
      <c r="M179" s="74"/>
      <c r="N179" s="62"/>
      <c r="O179" s="62">
        <f>J177</f>
        <v>2255080</v>
      </c>
      <c r="P179" s="62"/>
      <c r="Q179" s="62"/>
      <c r="R179" s="62"/>
      <c r="S179" s="61">
        <f t="shared" si="70"/>
        <v>2255080</v>
      </c>
      <c r="T179" s="61">
        <f>I179-S179</f>
        <v>-2255080</v>
      </c>
      <c r="U179" s="61"/>
    </row>
    <row r="180" spans="1:21" ht="12.75" hidden="1" customHeight="1" x14ac:dyDescent="0.2">
      <c r="A180" s="99">
        <v>1</v>
      </c>
      <c r="B180" s="99" t="s">
        <v>66</v>
      </c>
      <c r="C180" s="97">
        <v>22</v>
      </c>
      <c r="D180" s="97">
        <v>2205006000</v>
      </c>
      <c r="E180" s="97" t="s">
        <v>270</v>
      </c>
      <c r="F180" s="98" t="s">
        <v>298</v>
      </c>
      <c r="G180" s="97"/>
      <c r="H180" s="96">
        <v>17758215</v>
      </c>
      <c r="I180" s="96">
        <f>SUM(I181:I183)</f>
        <v>17758215</v>
      </c>
      <c r="J180" s="96">
        <f>H180-I180</f>
        <v>0</v>
      </c>
      <c r="K180" s="96">
        <f t="shared" ref="K180:R180" si="71">SUM(K181:K183)</f>
        <v>6830890</v>
      </c>
      <c r="L180" s="96">
        <f t="shared" si="71"/>
        <v>10927325</v>
      </c>
      <c r="M180" s="96">
        <f t="shared" si="71"/>
        <v>4472560</v>
      </c>
      <c r="N180" s="96">
        <f t="shared" si="71"/>
        <v>1118140</v>
      </c>
      <c r="O180" s="96">
        <f t="shared" si="71"/>
        <v>1118140</v>
      </c>
      <c r="P180" s="96">
        <f t="shared" si="71"/>
        <v>1118140</v>
      </c>
      <c r="Q180" s="96">
        <f t="shared" si="71"/>
        <v>1118140</v>
      </c>
      <c r="R180" s="96">
        <f t="shared" si="71"/>
        <v>1982205</v>
      </c>
      <c r="S180" s="96">
        <f t="shared" si="70"/>
        <v>17758215</v>
      </c>
      <c r="T180" s="94">
        <f>H180-S180</f>
        <v>0</v>
      </c>
      <c r="U180" s="94"/>
    </row>
    <row r="181" spans="1:21" customFormat="1" ht="22.5" hidden="1" customHeight="1" x14ac:dyDescent="0.25">
      <c r="A181" s="67">
        <v>1</v>
      </c>
      <c r="B181" s="67" t="s">
        <v>70</v>
      </c>
      <c r="C181" s="66">
        <v>22</v>
      </c>
      <c r="D181" s="66">
        <v>2205006000</v>
      </c>
      <c r="E181" s="66" t="s">
        <v>270</v>
      </c>
      <c r="F181" s="65" t="s">
        <v>298</v>
      </c>
      <c r="G181" s="65" t="s">
        <v>300</v>
      </c>
      <c r="H181" s="64"/>
      <c r="I181" s="63">
        <v>6576815</v>
      </c>
      <c r="J181" s="64"/>
      <c r="K181" s="63">
        <v>6576815</v>
      </c>
      <c r="L181" s="63">
        <f>I181-K181</f>
        <v>0</v>
      </c>
      <c r="M181" s="62"/>
      <c r="N181" s="62"/>
      <c r="O181" s="62"/>
      <c r="P181" s="62"/>
      <c r="Q181" s="62"/>
      <c r="R181" s="62"/>
      <c r="S181" s="61">
        <f t="shared" si="70"/>
        <v>6576815</v>
      </c>
      <c r="T181" s="61">
        <f>I181-S181</f>
        <v>0</v>
      </c>
      <c r="U181" s="61" t="s">
        <v>73</v>
      </c>
    </row>
    <row r="182" spans="1:21" customFormat="1" ht="33.75" hidden="1" customHeight="1" x14ac:dyDescent="0.25">
      <c r="A182" s="67">
        <v>1</v>
      </c>
      <c r="B182" s="67" t="s">
        <v>70</v>
      </c>
      <c r="C182" s="66">
        <v>22</v>
      </c>
      <c r="D182" s="66">
        <v>2205006000</v>
      </c>
      <c r="E182" s="66" t="s">
        <v>270</v>
      </c>
      <c r="F182" s="65" t="s">
        <v>298</v>
      </c>
      <c r="G182" s="65" t="s">
        <v>299</v>
      </c>
      <c r="H182" s="64"/>
      <c r="I182" s="63">
        <v>11181400</v>
      </c>
      <c r="J182" s="64"/>
      <c r="K182" s="63">
        <v>254075</v>
      </c>
      <c r="L182" s="63">
        <f>I182-K182</f>
        <v>10927325</v>
      </c>
      <c r="M182" s="62">
        <f>1118140*4</f>
        <v>4472560</v>
      </c>
      <c r="N182" s="62">
        <v>1118140</v>
      </c>
      <c r="O182" s="62">
        <v>1118140</v>
      </c>
      <c r="P182" s="62">
        <v>1118140</v>
      </c>
      <c r="Q182" s="62">
        <v>1118140</v>
      </c>
      <c r="R182" s="62">
        <v>1982205</v>
      </c>
      <c r="S182" s="61">
        <f t="shared" si="70"/>
        <v>11181400</v>
      </c>
      <c r="T182" s="61">
        <f>I182-S182</f>
        <v>0</v>
      </c>
      <c r="U182" s="61"/>
    </row>
    <row r="183" spans="1:21" customFormat="1" ht="15" hidden="1" customHeight="1" x14ac:dyDescent="0.25">
      <c r="A183" s="67">
        <v>1</v>
      </c>
      <c r="B183" s="67" t="s">
        <v>70</v>
      </c>
      <c r="C183" s="66">
        <v>22</v>
      </c>
      <c r="D183" s="66">
        <v>2205006000</v>
      </c>
      <c r="E183" s="66" t="s">
        <v>270</v>
      </c>
      <c r="F183" s="65" t="s">
        <v>298</v>
      </c>
      <c r="G183" s="65" t="s">
        <v>67</v>
      </c>
      <c r="H183" s="64"/>
      <c r="I183" s="63"/>
      <c r="J183" s="64"/>
      <c r="K183" s="63"/>
      <c r="L183" s="63">
        <f>I183-K183</f>
        <v>0</v>
      </c>
      <c r="M183" s="62"/>
      <c r="N183" s="74"/>
      <c r="O183" s="62"/>
      <c r="P183" s="62"/>
      <c r="Q183" s="62">
        <f>J180</f>
        <v>0</v>
      </c>
      <c r="R183" s="62"/>
      <c r="S183" s="61">
        <f t="shared" si="70"/>
        <v>0</v>
      </c>
      <c r="T183" s="61">
        <f>I183-S183</f>
        <v>0</v>
      </c>
      <c r="U183" s="61"/>
    </row>
    <row r="184" spans="1:21" ht="12.75" hidden="1" customHeight="1" x14ac:dyDescent="0.2">
      <c r="A184" s="99">
        <v>1</v>
      </c>
      <c r="B184" s="99" t="s">
        <v>66</v>
      </c>
      <c r="C184" s="97">
        <v>22</v>
      </c>
      <c r="D184" s="97">
        <v>2205007000</v>
      </c>
      <c r="E184" s="97" t="s">
        <v>270</v>
      </c>
      <c r="F184" s="98" t="s">
        <v>296</v>
      </c>
      <c r="G184" s="97"/>
      <c r="H184" s="96">
        <v>10702112</v>
      </c>
      <c r="I184" s="96">
        <f>SUM(I185:I186)</f>
        <v>5742000</v>
      </c>
      <c r="J184" s="96">
        <f>H184-I184</f>
        <v>4960112</v>
      </c>
      <c r="K184" s="96">
        <f t="shared" ref="K184:R184" si="72">SUM(K185:K186)</f>
        <v>2218465</v>
      </c>
      <c r="L184" s="96">
        <f t="shared" si="72"/>
        <v>3523535</v>
      </c>
      <c r="M184" s="96">
        <f t="shared" si="72"/>
        <v>1130000</v>
      </c>
      <c r="N184" s="96">
        <f t="shared" si="72"/>
        <v>1140000</v>
      </c>
      <c r="O184" s="96">
        <f t="shared" si="72"/>
        <v>1253535</v>
      </c>
      <c r="P184" s="96">
        <f t="shared" si="72"/>
        <v>0</v>
      </c>
      <c r="Q184" s="96">
        <f t="shared" si="72"/>
        <v>4960112</v>
      </c>
      <c r="R184" s="96">
        <f t="shared" si="72"/>
        <v>0</v>
      </c>
      <c r="S184" s="57">
        <f t="shared" si="70"/>
        <v>10702112</v>
      </c>
      <c r="T184" s="94">
        <f>H184-S184</f>
        <v>0</v>
      </c>
      <c r="U184" s="94"/>
    </row>
    <row r="185" spans="1:21" customFormat="1" ht="45" hidden="1" customHeight="1" x14ac:dyDescent="0.25">
      <c r="A185" s="67">
        <v>1</v>
      </c>
      <c r="B185" s="67" t="s">
        <v>70</v>
      </c>
      <c r="C185" s="66">
        <v>22</v>
      </c>
      <c r="D185" s="66">
        <v>2205007000</v>
      </c>
      <c r="E185" s="66" t="s">
        <v>270</v>
      </c>
      <c r="F185" s="65" t="s">
        <v>296</v>
      </c>
      <c r="G185" s="65" t="s">
        <v>297</v>
      </c>
      <c r="H185" s="64"/>
      <c r="I185" s="63">
        <v>5742000</v>
      </c>
      <c r="J185" s="64"/>
      <c r="K185" s="63">
        <v>2218465</v>
      </c>
      <c r="L185" s="63">
        <f>I185-K185</f>
        <v>3523535</v>
      </c>
      <c r="M185" s="62">
        <v>1130000</v>
      </c>
      <c r="N185" s="62">
        <v>1140000</v>
      </c>
      <c r="O185" s="68">
        <v>1253535</v>
      </c>
      <c r="P185" s="62"/>
      <c r="Q185" s="62"/>
      <c r="R185" s="62"/>
      <c r="S185" s="61">
        <f t="shared" si="70"/>
        <v>5742000</v>
      </c>
      <c r="T185" s="61">
        <f>I185-S185</f>
        <v>0</v>
      </c>
      <c r="U185" s="61"/>
    </row>
    <row r="186" spans="1:21" customFormat="1" ht="15" hidden="1" customHeight="1" x14ac:dyDescent="0.25">
      <c r="A186" s="67">
        <v>1</v>
      </c>
      <c r="B186" s="67" t="s">
        <v>70</v>
      </c>
      <c r="C186" s="66">
        <v>22</v>
      </c>
      <c r="D186" s="66">
        <v>2205007000</v>
      </c>
      <c r="E186" s="66" t="s">
        <v>270</v>
      </c>
      <c r="F186" s="65" t="s">
        <v>296</v>
      </c>
      <c r="G186" s="65" t="s">
        <v>295</v>
      </c>
      <c r="H186" s="64"/>
      <c r="I186" s="63"/>
      <c r="J186" s="64"/>
      <c r="K186" s="63"/>
      <c r="L186" s="63"/>
      <c r="M186" s="62"/>
      <c r="N186" s="62"/>
      <c r="O186" s="52"/>
      <c r="P186" s="62"/>
      <c r="Q186" s="62">
        <f>J184</f>
        <v>4960112</v>
      </c>
      <c r="R186" s="62"/>
      <c r="S186" s="61">
        <f t="shared" si="70"/>
        <v>4960112</v>
      </c>
      <c r="T186" s="61">
        <f>I186-S186</f>
        <v>-4960112</v>
      </c>
      <c r="U186" s="61"/>
    </row>
    <row r="187" spans="1:21" ht="12.75" hidden="1" customHeight="1" x14ac:dyDescent="0.2">
      <c r="A187" s="99">
        <v>1</v>
      </c>
      <c r="B187" s="99" t="s">
        <v>66</v>
      </c>
      <c r="C187" s="97">
        <v>22</v>
      </c>
      <c r="D187" s="97">
        <v>2205008000</v>
      </c>
      <c r="E187" s="97" t="s">
        <v>270</v>
      </c>
      <c r="F187" s="98" t="s">
        <v>291</v>
      </c>
      <c r="G187" s="97"/>
      <c r="H187" s="96">
        <v>107306881</v>
      </c>
      <c r="I187" s="96">
        <v>107306881</v>
      </c>
      <c r="J187" s="96">
        <f>H187-I187</f>
        <v>0</v>
      </c>
      <c r="K187" s="96">
        <v>53404384</v>
      </c>
      <c r="L187" s="96">
        <v>53902497</v>
      </c>
      <c r="M187" s="96">
        <f t="shared" ref="M187:R187" si="73">SUM(M188:M191)</f>
        <v>335242</v>
      </c>
      <c r="N187" s="96">
        <f t="shared" si="73"/>
        <v>9021093</v>
      </c>
      <c r="O187" s="96">
        <f t="shared" si="73"/>
        <v>10221093</v>
      </c>
      <c r="P187" s="96">
        <f t="shared" si="73"/>
        <v>10221093</v>
      </c>
      <c r="Q187" s="96">
        <f t="shared" si="73"/>
        <v>10221093</v>
      </c>
      <c r="R187" s="96">
        <f t="shared" si="73"/>
        <v>13882883</v>
      </c>
      <c r="S187" s="96">
        <f t="shared" si="70"/>
        <v>107306881</v>
      </c>
      <c r="T187" s="94">
        <f>H187-S187</f>
        <v>0</v>
      </c>
      <c r="U187" s="94"/>
    </row>
    <row r="188" spans="1:21" customFormat="1" ht="45" hidden="1" customHeight="1" x14ac:dyDescent="0.25">
      <c r="A188" s="67">
        <v>1</v>
      </c>
      <c r="B188" s="67" t="s">
        <v>70</v>
      </c>
      <c r="C188" s="66">
        <v>22</v>
      </c>
      <c r="D188" s="66">
        <v>2205008000</v>
      </c>
      <c r="E188" s="66" t="s">
        <v>270</v>
      </c>
      <c r="F188" s="65" t="s">
        <v>291</v>
      </c>
      <c r="G188" s="65" t="s">
        <v>294</v>
      </c>
      <c r="H188" s="64"/>
      <c r="I188" s="63">
        <v>100000000</v>
      </c>
      <c r="J188" s="64"/>
      <c r="K188" s="63">
        <v>51266117</v>
      </c>
      <c r="L188" s="63">
        <f>I188-K188</f>
        <v>48733883</v>
      </c>
      <c r="M188" s="62"/>
      <c r="N188" s="62">
        <v>9021093</v>
      </c>
      <c r="O188" s="62">
        <v>9021093</v>
      </c>
      <c r="P188" s="62">
        <v>9021093</v>
      </c>
      <c r="Q188" s="62">
        <v>9021093</v>
      </c>
      <c r="R188" s="62">
        <v>12649511</v>
      </c>
      <c r="S188" s="61">
        <f t="shared" si="70"/>
        <v>100000000</v>
      </c>
      <c r="T188" s="61">
        <f>I188-S188</f>
        <v>0</v>
      </c>
      <c r="U188" s="61"/>
    </row>
    <row r="189" spans="1:21" customFormat="1" ht="22.5" hidden="1" customHeight="1" x14ac:dyDescent="0.25">
      <c r="A189" s="67">
        <v>1</v>
      </c>
      <c r="B189" s="67" t="s">
        <v>70</v>
      </c>
      <c r="C189" s="66">
        <v>22</v>
      </c>
      <c r="D189" s="66">
        <v>2205008000</v>
      </c>
      <c r="E189" s="66" t="s">
        <v>270</v>
      </c>
      <c r="F189" s="65" t="s">
        <v>291</v>
      </c>
      <c r="G189" s="65" t="s">
        <v>293</v>
      </c>
      <c r="H189" s="64"/>
      <c r="I189" s="63">
        <v>1081509</v>
      </c>
      <c r="J189" s="64"/>
      <c r="K189" s="63">
        <v>1081509</v>
      </c>
      <c r="L189" s="63">
        <f>I189-K189</f>
        <v>0</v>
      </c>
      <c r="M189" s="62"/>
      <c r="N189" s="62"/>
      <c r="O189" s="62"/>
      <c r="P189" s="62"/>
      <c r="Q189" s="62"/>
      <c r="R189" s="62"/>
      <c r="S189" s="61">
        <f t="shared" si="70"/>
        <v>1081509</v>
      </c>
      <c r="T189" s="61">
        <f>I189-S189</f>
        <v>0</v>
      </c>
      <c r="U189" s="61" t="s">
        <v>73</v>
      </c>
    </row>
    <row r="190" spans="1:21" customFormat="1" ht="45" hidden="1" customHeight="1" x14ac:dyDescent="0.25">
      <c r="A190" s="67">
        <v>1</v>
      </c>
      <c r="B190" s="67" t="s">
        <v>70</v>
      </c>
      <c r="C190" s="66">
        <v>22</v>
      </c>
      <c r="D190" s="66">
        <v>2205008000</v>
      </c>
      <c r="E190" s="66" t="s">
        <v>270</v>
      </c>
      <c r="F190" s="65" t="s">
        <v>291</v>
      </c>
      <c r="G190" s="65" t="s">
        <v>292</v>
      </c>
      <c r="H190" s="64"/>
      <c r="I190" s="63">
        <v>1392000</v>
      </c>
      <c r="J190" s="64"/>
      <c r="K190" s="63">
        <v>1056758</v>
      </c>
      <c r="L190" s="63">
        <f>I190-K190</f>
        <v>335242</v>
      </c>
      <c r="M190" s="68">
        <v>335242</v>
      </c>
      <c r="N190" s="62"/>
      <c r="O190" s="62"/>
      <c r="P190" s="62"/>
      <c r="Q190" s="62"/>
      <c r="R190" s="62"/>
      <c r="S190" s="61">
        <f t="shared" si="70"/>
        <v>1392000</v>
      </c>
      <c r="T190" s="61">
        <f>I190-S190</f>
        <v>0</v>
      </c>
      <c r="U190" s="61"/>
    </row>
    <row r="191" spans="1:21" customFormat="1" ht="45" hidden="1" customHeight="1" x14ac:dyDescent="0.25">
      <c r="A191" s="67">
        <v>1</v>
      </c>
      <c r="B191" s="67" t="s">
        <v>70</v>
      </c>
      <c r="C191" s="66">
        <v>22</v>
      </c>
      <c r="D191" s="66">
        <v>2205008000</v>
      </c>
      <c r="E191" s="66" t="s">
        <v>270</v>
      </c>
      <c r="F191" s="65" t="s">
        <v>291</v>
      </c>
      <c r="G191" s="65" t="s">
        <v>290</v>
      </c>
      <c r="H191" s="64"/>
      <c r="I191" s="63">
        <v>4833372</v>
      </c>
      <c r="J191" s="64"/>
      <c r="K191" s="63"/>
      <c r="L191" s="63">
        <f>I191-K191</f>
        <v>4833372</v>
      </c>
      <c r="M191" s="62"/>
      <c r="N191" s="62"/>
      <c r="O191" s="62">
        <v>1200000</v>
      </c>
      <c r="P191" s="62">
        <v>1200000</v>
      </c>
      <c r="Q191" s="62">
        <v>1200000</v>
      </c>
      <c r="R191" s="62">
        <v>1233372</v>
      </c>
      <c r="S191" s="61">
        <f t="shared" si="70"/>
        <v>4833372</v>
      </c>
      <c r="T191" s="61">
        <f>I191-S191</f>
        <v>0</v>
      </c>
      <c r="U191" s="61"/>
    </row>
    <row r="192" spans="1:21" ht="12.75" hidden="1" customHeight="1" x14ac:dyDescent="0.2">
      <c r="A192" s="99">
        <v>1</v>
      </c>
      <c r="B192" s="99" t="s">
        <v>66</v>
      </c>
      <c r="C192" s="97">
        <v>22</v>
      </c>
      <c r="D192" s="97">
        <v>2205999000</v>
      </c>
      <c r="E192" s="97" t="s">
        <v>270</v>
      </c>
      <c r="F192" s="98" t="s">
        <v>36</v>
      </c>
      <c r="G192" s="97"/>
      <c r="H192" s="96">
        <v>569880</v>
      </c>
      <c r="I192" s="96">
        <f>SUM(I193:I193)</f>
        <v>569880</v>
      </c>
      <c r="J192" s="96">
        <f>H192-I192</f>
        <v>0</v>
      </c>
      <c r="K192" s="96">
        <f t="shared" ref="K192:R192" si="74">SUM(K193:K193)</f>
        <v>332430</v>
      </c>
      <c r="L192" s="96">
        <f t="shared" si="74"/>
        <v>237450</v>
      </c>
      <c r="M192" s="96">
        <f t="shared" si="74"/>
        <v>0</v>
      </c>
      <c r="N192" s="96">
        <f t="shared" si="74"/>
        <v>47490</v>
      </c>
      <c r="O192" s="96">
        <f t="shared" si="74"/>
        <v>47490</v>
      </c>
      <c r="P192" s="96">
        <f t="shared" si="74"/>
        <v>47490</v>
      </c>
      <c r="Q192" s="96">
        <f t="shared" si="74"/>
        <v>47490</v>
      </c>
      <c r="R192" s="96">
        <f t="shared" si="74"/>
        <v>47490</v>
      </c>
      <c r="S192" s="96">
        <f t="shared" si="70"/>
        <v>569880</v>
      </c>
      <c r="T192" s="94">
        <f>H192-S192</f>
        <v>0</v>
      </c>
      <c r="U192" s="94"/>
    </row>
    <row r="193" spans="1:21" customFormat="1" ht="45" hidden="1" customHeight="1" x14ac:dyDescent="0.25">
      <c r="A193" s="67">
        <v>1</v>
      </c>
      <c r="B193" s="67" t="s">
        <v>70</v>
      </c>
      <c r="C193" s="66">
        <v>22</v>
      </c>
      <c r="D193" s="66">
        <v>2205999000</v>
      </c>
      <c r="E193" s="66" t="s">
        <v>270</v>
      </c>
      <c r="F193" s="65" t="s">
        <v>36</v>
      </c>
      <c r="G193" s="65" t="s">
        <v>289</v>
      </c>
      <c r="H193" s="64"/>
      <c r="I193" s="63">
        <v>569880</v>
      </c>
      <c r="J193" s="64"/>
      <c r="K193" s="63">
        <v>332430</v>
      </c>
      <c r="L193" s="63">
        <v>237450</v>
      </c>
      <c r="M193" s="62"/>
      <c r="N193" s="62">
        <v>47490</v>
      </c>
      <c r="O193" s="62">
        <v>47490</v>
      </c>
      <c r="P193" s="62">
        <v>47490</v>
      </c>
      <c r="Q193" s="62">
        <v>47490</v>
      </c>
      <c r="R193" s="62">
        <v>47490</v>
      </c>
      <c r="S193" s="61">
        <f t="shared" si="70"/>
        <v>569880</v>
      </c>
      <c r="T193" s="61">
        <f>I193-S193</f>
        <v>0</v>
      </c>
      <c r="U193" s="61"/>
    </row>
    <row r="194" spans="1:21" ht="25.5" hidden="1" customHeight="1" x14ac:dyDescent="0.2">
      <c r="A194" s="99">
        <v>1</v>
      </c>
      <c r="B194" s="99" t="s">
        <v>66</v>
      </c>
      <c r="C194" s="97">
        <v>22</v>
      </c>
      <c r="D194" s="97">
        <v>2206007000</v>
      </c>
      <c r="E194" s="97" t="s">
        <v>270</v>
      </c>
      <c r="F194" s="98" t="s">
        <v>288</v>
      </c>
      <c r="G194" s="97"/>
      <c r="H194" s="96">
        <v>2431000</v>
      </c>
      <c r="I194" s="96">
        <f>SUM(I195:I195)</f>
        <v>2431000</v>
      </c>
      <c r="J194" s="96">
        <f>H194-I194</f>
        <v>0</v>
      </c>
      <c r="K194" s="96">
        <f>SUM(K195:K195)</f>
        <v>1023524</v>
      </c>
      <c r="L194" s="96">
        <f>SUM(L195:L195)</f>
        <v>1407476</v>
      </c>
      <c r="M194" s="96">
        <f t="shared" ref="M194:R194" si="75">M195</f>
        <v>380918</v>
      </c>
      <c r="N194" s="96">
        <f t="shared" si="75"/>
        <v>0</v>
      </c>
      <c r="O194" s="96">
        <f t="shared" si="75"/>
        <v>0</v>
      </c>
      <c r="P194" s="96">
        <f t="shared" si="75"/>
        <v>0</v>
      </c>
      <c r="Q194" s="96">
        <f t="shared" si="75"/>
        <v>1026558</v>
      </c>
      <c r="R194" s="96">
        <f t="shared" si="75"/>
        <v>0</v>
      </c>
      <c r="S194" s="96">
        <f t="shared" si="70"/>
        <v>2431000</v>
      </c>
      <c r="T194" s="94">
        <f>H194-S194</f>
        <v>0</v>
      </c>
      <c r="U194" s="94"/>
    </row>
    <row r="195" spans="1:21" customFormat="1" ht="56.25" hidden="1" customHeight="1" x14ac:dyDescent="0.25">
      <c r="A195" s="67">
        <v>1</v>
      </c>
      <c r="B195" s="67" t="s">
        <v>70</v>
      </c>
      <c r="C195" s="66">
        <v>22</v>
      </c>
      <c r="D195" s="66">
        <v>2206007000</v>
      </c>
      <c r="E195" s="66" t="s">
        <v>270</v>
      </c>
      <c r="F195" s="65" t="s">
        <v>288</v>
      </c>
      <c r="G195" s="65" t="s">
        <v>287</v>
      </c>
      <c r="H195" s="64"/>
      <c r="I195" s="63">
        <v>2431000</v>
      </c>
      <c r="J195" s="64"/>
      <c r="K195" s="63">
        <v>1023524</v>
      </c>
      <c r="L195" s="63">
        <f>I195-K195</f>
        <v>1407476</v>
      </c>
      <c r="M195" s="62">
        <v>380918</v>
      </c>
      <c r="N195" s="62"/>
      <c r="O195" s="62"/>
      <c r="P195" s="62"/>
      <c r="Q195" s="62">
        <v>1026558</v>
      </c>
      <c r="R195" s="62"/>
      <c r="S195" s="61">
        <f t="shared" si="70"/>
        <v>2431000</v>
      </c>
      <c r="T195" s="61">
        <f>I195-S195</f>
        <v>0</v>
      </c>
      <c r="U195" s="61" t="s">
        <v>73</v>
      </c>
    </row>
    <row r="196" spans="1:21" ht="25.5" hidden="1" customHeight="1" x14ac:dyDescent="0.2">
      <c r="A196" s="99">
        <v>1</v>
      </c>
      <c r="B196" s="99" t="s">
        <v>66</v>
      </c>
      <c r="C196" s="97">
        <v>22</v>
      </c>
      <c r="D196" s="97">
        <v>2211003001</v>
      </c>
      <c r="E196" s="97" t="s">
        <v>270</v>
      </c>
      <c r="F196" s="98" t="s">
        <v>279</v>
      </c>
      <c r="G196" s="97"/>
      <c r="H196" s="96">
        <v>185055355</v>
      </c>
      <c r="I196" s="96">
        <v>130862792</v>
      </c>
      <c r="J196" s="96">
        <f>H196-I196</f>
        <v>54192563</v>
      </c>
      <c r="K196" s="96">
        <v>100064196</v>
      </c>
      <c r="L196" s="96">
        <v>30798596</v>
      </c>
      <c r="M196" s="96">
        <f t="shared" ref="M196:R196" si="76">SUM(M197:M203)</f>
        <v>16883919</v>
      </c>
      <c r="N196" s="96">
        <f t="shared" si="76"/>
        <v>22455477</v>
      </c>
      <c r="O196" s="96">
        <f t="shared" si="76"/>
        <v>0</v>
      </c>
      <c r="P196" s="96">
        <f t="shared" si="76"/>
        <v>0</v>
      </c>
      <c r="Q196" s="96">
        <f t="shared" si="76"/>
        <v>45651763</v>
      </c>
      <c r="R196" s="96">
        <f t="shared" si="76"/>
        <v>0</v>
      </c>
      <c r="S196" s="96">
        <f t="shared" si="70"/>
        <v>185055355</v>
      </c>
      <c r="T196" s="94">
        <f>H196-S196</f>
        <v>0</v>
      </c>
      <c r="U196" s="94"/>
    </row>
    <row r="197" spans="1:21" ht="22.5" hidden="1" customHeight="1" x14ac:dyDescent="0.2">
      <c r="A197" s="67">
        <v>1</v>
      </c>
      <c r="B197" s="67" t="s">
        <v>70</v>
      </c>
      <c r="C197" s="66">
        <v>22</v>
      </c>
      <c r="D197" s="66">
        <v>2211003001</v>
      </c>
      <c r="E197" s="66" t="s">
        <v>270</v>
      </c>
      <c r="F197" s="65" t="s">
        <v>279</v>
      </c>
      <c r="G197" s="65" t="s">
        <v>286</v>
      </c>
      <c r="H197" s="64"/>
      <c r="I197" s="63">
        <v>82822127</v>
      </c>
      <c r="J197" s="64"/>
      <c r="K197" s="63">
        <v>82822127</v>
      </c>
      <c r="L197" s="63"/>
      <c r="M197" s="62"/>
      <c r="N197" s="62"/>
      <c r="O197" s="62"/>
      <c r="P197" s="62"/>
      <c r="Q197" s="62"/>
      <c r="R197" s="62"/>
      <c r="S197" s="61">
        <f t="shared" si="70"/>
        <v>82822127</v>
      </c>
      <c r="T197" s="61">
        <f t="shared" ref="T197:T203" si="77">I197-S197</f>
        <v>0</v>
      </c>
      <c r="U197" s="61" t="s">
        <v>73</v>
      </c>
    </row>
    <row r="198" spans="1:21" customFormat="1" ht="56.25" hidden="1" customHeight="1" x14ac:dyDescent="0.25">
      <c r="A198" s="67">
        <v>1</v>
      </c>
      <c r="B198" s="67" t="s">
        <v>70</v>
      </c>
      <c r="C198" s="66">
        <v>22</v>
      </c>
      <c r="D198" s="66">
        <v>2211003001</v>
      </c>
      <c r="E198" s="66" t="s">
        <v>270</v>
      </c>
      <c r="F198" s="65" t="s">
        <v>279</v>
      </c>
      <c r="G198" s="65" t="s">
        <v>285</v>
      </c>
      <c r="H198" s="64"/>
      <c r="I198" s="63">
        <v>13920000</v>
      </c>
      <c r="J198" s="64"/>
      <c r="K198" s="63">
        <v>9025341</v>
      </c>
      <c r="L198" s="63">
        <f>I198-K198</f>
        <v>4894659</v>
      </c>
      <c r="M198" s="62">
        <v>2400000</v>
      </c>
      <c r="N198" s="62">
        <v>2494659</v>
      </c>
      <c r="O198" s="62"/>
      <c r="P198" s="62"/>
      <c r="Q198" s="62"/>
      <c r="R198" s="62"/>
      <c r="S198" s="61">
        <f t="shared" si="70"/>
        <v>13920000</v>
      </c>
      <c r="T198" s="61">
        <f t="shared" si="77"/>
        <v>0</v>
      </c>
      <c r="U198" s="61"/>
    </row>
    <row r="199" spans="1:21" customFormat="1" ht="45" hidden="1" customHeight="1" x14ac:dyDescent="0.25">
      <c r="A199" s="67">
        <v>1</v>
      </c>
      <c r="B199" s="67" t="s">
        <v>70</v>
      </c>
      <c r="C199" s="66">
        <v>22</v>
      </c>
      <c r="D199" s="66">
        <v>2211003001</v>
      </c>
      <c r="E199" s="66" t="s">
        <v>270</v>
      </c>
      <c r="F199" s="65" t="s">
        <v>279</v>
      </c>
      <c r="G199" s="65" t="s">
        <v>284</v>
      </c>
      <c r="H199" s="64"/>
      <c r="I199" s="63">
        <v>10960818</v>
      </c>
      <c r="J199" s="64"/>
      <c r="K199" s="63">
        <v>0</v>
      </c>
      <c r="L199" s="63">
        <f>I199-K199</f>
        <v>10960818</v>
      </c>
      <c r="M199" s="53"/>
      <c r="N199" s="81">
        <v>10960818</v>
      </c>
      <c r="O199" s="62"/>
      <c r="P199" s="62"/>
      <c r="Q199" s="62"/>
      <c r="R199" s="62"/>
      <c r="S199" s="61">
        <f t="shared" si="70"/>
        <v>10960818</v>
      </c>
      <c r="T199" s="61">
        <f t="shared" si="77"/>
        <v>0</v>
      </c>
      <c r="U199" s="61"/>
    </row>
    <row r="200" spans="1:21" customFormat="1" ht="78.75" hidden="1" customHeight="1" x14ac:dyDescent="0.25">
      <c r="A200" s="67">
        <v>1</v>
      </c>
      <c r="B200" s="67" t="s">
        <v>70</v>
      </c>
      <c r="C200" s="66">
        <v>22</v>
      </c>
      <c r="D200" s="66">
        <v>2211003001</v>
      </c>
      <c r="E200" s="66" t="s">
        <v>270</v>
      </c>
      <c r="F200" s="65" t="s">
        <v>279</v>
      </c>
      <c r="G200" s="65" t="s">
        <v>283</v>
      </c>
      <c r="H200" s="64"/>
      <c r="I200" s="63">
        <v>13691964</v>
      </c>
      <c r="J200" s="64"/>
      <c r="K200" s="63">
        <v>8216728</v>
      </c>
      <c r="L200" s="63">
        <f>I200-K200</f>
        <v>5475236</v>
      </c>
      <c r="M200" s="62">
        <v>5475236</v>
      </c>
      <c r="N200" s="62"/>
      <c r="O200" s="62"/>
      <c r="P200" s="62"/>
      <c r="Q200" s="62"/>
      <c r="R200" s="62"/>
      <c r="S200" s="61">
        <f t="shared" si="70"/>
        <v>13691964</v>
      </c>
      <c r="T200" s="61">
        <f t="shared" si="77"/>
        <v>0</v>
      </c>
      <c r="U200" s="61"/>
    </row>
    <row r="201" spans="1:21" customFormat="1" ht="56.25" hidden="1" customHeight="1" x14ac:dyDescent="0.25">
      <c r="A201" s="67">
        <v>1</v>
      </c>
      <c r="B201" s="67" t="s">
        <v>70</v>
      </c>
      <c r="C201" s="66">
        <v>22</v>
      </c>
      <c r="D201" s="66">
        <v>2211003001</v>
      </c>
      <c r="E201" s="66" t="s">
        <v>270</v>
      </c>
      <c r="F201" s="65" t="s">
        <v>279</v>
      </c>
      <c r="G201" s="65" t="s">
        <v>282</v>
      </c>
      <c r="H201" s="64"/>
      <c r="I201" s="63">
        <v>9008683</v>
      </c>
      <c r="J201" s="64"/>
      <c r="K201" s="63">
        <v>0</v>
      </c>
      <c r="L201" s="63">
        <v>9008683</v>
      </c>
      <c r="M201" s="81">
        <v>9008683</v>
      </c>
      <c r="N201" s="62"/>
      <c r="O201" s="62"/>
      <c r="P201" s="62"/>
      <c r="Q201" s="62"/>
      <c r="R201" s="62"/>
      <c r="S201" s="61">
        <f t="shared" si="70"/>
        <v>9008683</v>
      </c>
      <c r="T201" s="61">
        <f t="shared" si="77"/>
        <v>0</v>
      </c>
      <c r="U201" s="101" t="s">
        <v>281</v>
      </c>
    </row>
    <row r="202" spans="1:21" customFormat="1" ht="22.5" hidden="1" customHeight="1" x14ac:dyDescent="0.25">
      <c r="A202" s="67">
        <v>1</v>
      </c>
      <c r="B202" s="67" t="s">
        <v>70</v>
      </c>
      <c r="C202" s="66">
        <v>22</v>
      </c>
      <c r="D202" s="66">
        <v>2211003001</v>
      </c>
      <c r="E202" s="66" t="s">
        <v>270</v>
      </c>
      <c r="F202" s="65" t="s">
        <v>279</v>
      </c>
      <c r="G202" s="65" t="s">
        <v>280</v>
      </c>
      <c r="H202" s="64"/>
      <c r="I202" s="63"/>
      <c r="J202" s="64"/>
      <c r="K202" s="63">
        <v>0</v>
      </c>
      <c r="L202" s="63">
        <f>I202-K202</f>
        <v>0</v>
      </c>
      <c r="M202" s="62"/>
      <c r="N202" s="62">
        <v>9000000</v>
      </c>
      <c r="O202" s="62"/>
      <c r="P202" s="62"/>
      <c r="Q202" s="62"/>
      <c r="R202" s="62"/>
      <c r="S202" s="61">
        <f t="shared" si="70"/>
        <v>9000000</v>
      </c>
      <c r="T202" s="61">
        <f t="shared" si="77"/>
        <v>-9000000</v>
      </c>
      <c r="U202" s="61"/>
    </row>
    <row r="203" spans="1:21" customFormat="1" ht="22.5" hidden="1" customHeight="1" x14ac:dyDescent="0.25">
      <c r="A203" s="67">
        <v>1</v>
      </c>
      <c r="B203" s="67" t="s">
        <v>70</v>
      </c>
      <c r="C203" s="66">
        <v>22</v>
      </c>
      <c r="D203" s="66">
        <v>2211003001</v>
      </c>
      <c r="E203" s="66" t="s">
        <v>270</v>
      </c>
      <c r="F203" s="65" t="s">
        <v>279</v>
      </c>
      <c r="G203" s="65" t="s">
        <v>278</v>
      </c>
      <c r="H203" s="64"/>
      <c r="I203" s="63"/>
      <c r="J203" s="64"/>
      <c r="K203" s="63">
        <v>0</v>
      </c>
      <c r="L203" s="63">
        <f>I203-K203</f>
        <v>0</v>
      </c>
      <c r="M203" s="62"/>
      <c r="N203" s="62"/>
      <c r="O203" s="62"/>
      <c r="P203" s="62"/>
      <c r="Q203" s="62">
        <v>45651763</v>
      </c>
      <c r="R203" s="81"/>
      <c r="S203" s="61">
        <f t="shared" si="70"/>
        <v>45651763</v>
      </c>
      <c r="T203" s="61">
        <f t="shared" si="77"/>
        <v>-45651763</v>
      </c>
      <c r="U203" s="61"/>
    </row>
    <row r="204" spans="1:21" s="54" customFormat="1" ht="12.75" customHeight="1" x14ac:dyDescent="0.2">
      <c r="A204" s="60">
        <v>1</v>
      </c>
      <c r="B204" s="60" t="s">
        <v>66</v>
      </c>
      <c r="C204" s="59">
        <v>29</v>
      </c>
      <c r="D204" s="59">
        <v>29</v>
      </c>
      <c r="E204" s="59" t="s">
        <v>270</v>
      </c>
      <c r="F204" s="71" t="s">
        <v>92</v>
      </c>
      <c r="G204" s="59" t="s">
        <v>95</v>
      </c>
      <c r="H204" s="58">
        <f>SUM(H205:H214)</f>
        <v>205225000</v>
      </c>
      <c r="I204" s="58">
        <f t="shared" ref="I204:R204" si="78">I205+I209+I211+I214</f>
        <v>123709303</v>
      </c>
      <c r="J204" s="58">
        <f t="shared" si="78"/>
        <v>81515697</v>
      </c>
      <c r="K204" s="58">
        <f t="shared" si="78"/>
        <v>78248933</v>
      </c>
      <c r="L204" s="58">
        <f t="shared" si="78"/>
        <v>45460370</v>
      </c>
      <c r="M204" s="58">
        <f t="shared" si="78"/>
        <v>0</v>
      </c>
      <c r="N204" s="58">
        <f t="shared" si="78"/>
        <v>38777394</v>
      </c>
      <c r="O204" s="58">
        <f t="shared" si="78"/>
        <v>7300000</v>
      </c>
      <c r="P204" s="58">
        <f t="shared" si="78"/>
        <v>7300000</v>
      </c>
      <c r="Q204" s="58">
        <f t="shared" si="78"/>
        <v>68815697</v>
      </c>
      <c r="R204" s="58">
        <f t="shared" si="78"/>
        <v>4782976</v>
      </c>
      <c r="S204" s="58">
        <f t="shared" si="70"/>
        <v>205225000</v>
      </c>
      <c r="T204" s="58">
        <f>H204-S204</f>
        <v>0</v>
      </c>
      <c r="U204" s="57"/>
    </row>
    <row r="205" spans="1:21" ht="25.5" customHeight="1" x14ac:dyDescent="0.2">
      <c r="A205" s="99">
        <v>1</v>
      </c>
      <c r="B205" s="99" t="s">
        <v>66</v>
      </c>
      <c r="C205" s="97">
        <v>29</v>
      </c>
      <c r="D205" s="97">
        <v>2906001000</v>
      </c>
      <c r="E205" s="97" t="s">
        <v>270</v>
      </c>
      <c r="F205" s="98" t="s">
        <v>275</v>
      </c>
      <c r="G205" s="97"/>
      <c r="H205" s="96">
        <v>112938868</v>
      </c>
      <c r="I205" s="96">
        <f>SUM(I206:I208)</f>
        <v>56745257</v>
      </c>
      <c r="J205" s="96">
        <f>H205-I205</f>
        <v>56193611</v>
      </c>
      <c r="K205" s="96">
        <f t="shared" ref="K205:R205" si="79">SUM(K206:K208)</f>
        <v>25267863</v>
      </c>
      <c r="L205" s="96">
        <f t="shared" si="79"/>
        <v>31477394</v>
      </c>
      <c r="M205" s="96">
        <f t="shared" si="79"/>
        <v>0</v>
      </c>
      <c r="N205" s="96">
        <f t="shared" si="79"/>
        <v>31477394</v>
      </c>
      <c r="O205" s="96">
        <f t="shared" si="79"/>
        <v>0</v>
      </c>
      <c r="P205" s="96">
        <f t="shared" si="79"/>
        <v>0</v>
      </c>
      <c r="Q205" s="96">
        <f t="shared" si="79"/>
        <v>56193611</v>
      </c>
      <c r="R205" s="96">
        <f t="shared" si="79"/>
        <v>0</v>
      </c>
      <c r="S205" s="96">
        <f t="shared" si="70"/>
        <v>112938868</v>
      </c>
      <c r="T205" s="61">
        <f>H205-S205</f>
        <v>0</v>
      </c>
      <c r="U205" s="61"/>
    </row>
    <row r="206" spans="1:21" customFormat="1" ht="15" customHeight="1" x14ac:dyDescent="0.25">
      <c r="A206" s="67">
        <v>1</v>
      </c>
      <c r="B206" s="67" t="s">
        <v>70</v>
      </c>
      <c r="C206" s="66">
        <v>29</v>
      </c>
      <c r="D206" s="66">
        <v>2906001000</v>
      </c>
      <c r="E206" s="66" t="s">
        <v>270</v>
      </c>
      <c r="F206" s="65" t="s">
        <v>275</v>
      </c>
      <c r="G206" s="65" t="s">
        <v>266</v>
      </c>
      <c r="H206" s="64"/>
      <c r="I206" s="63">
        <v>25267863</v>
      </c>
      <c r="J206" s="64"/>
      <c r="K206" s="63">
        <v>25267863</v>
      </c>
      <c r="L206" s="63">
        <f>I206-K206</f>
        <v>0</v>
      </c>
      <c r="M206" s="62"/>
      <c r="N206" s="62"/>
      <c r="O206" s="62"/>
      <c r="P206" s="62"/>
      <c r="Q206" s="62"/>
      <c r="R206" s="62"/>
      <c r="S206" s="61">
        <f t="shared" si="70"/>
        <v>25267863</v>
      </c>
      <c r="T206" s="61">
        <f>I206-S206</f>
        <v>0</v>
      </c>
      <c r="U206" s="61" t="s">
        <v>73</v>
      </c>
    </row>
    <row r="207" spans="1:21" customFormat="1" ht="53.25" customHeight="1" x14ac:dyDescent="0.25">
      <c r="A207" s="67">
        <v>1</v>
      </c>
      <c r="B207" s="67" t="s">
        <v>70</v>
      </c>
      <c r="C207" s="66">
        <v>29</v>
      </c>
      <c r="D207" s="66">
        <v>2906001000</v>
      </c>
      <c r="E207" s="66" t="s">
        <v>270</v>
      </c>
      <c r="F207" s="65" t="s">
        <v>275</v>
      </c>
      <c r="G207" s="65" t="s">
        <v>277</v>
      </c>
      <c r="H207" s="64"/>
      <c r="I207" s="63">
        <v>31477394</v>
      </c>
      <c r="J207" s="64"/>
      <c r="K207" s="63"/>
      <c r="L207" s="63">
        <v>31477394</v>
      </c>
      <c r="M207" s="81"/>
      <c r="N207" s="62">
        <v>31477394</v>
      </c>
      <c r="O207" s="62"/>
      <c r="P207" s="62"/>
      <c r="Q207" s="62"/>
      <c r="R207" s="62"/>
      <c r="S207" s="61">
        <f t="shared" si="70"/>
        <v>31477394</v>
      </c>
      <c r="T207" s="61">
        <f>I207-S207</f>
        <v>0</v>
      </c>
      <c r="U207" s="101" t="s">
        <v>276</v>
      </c>
    </row>
    <row r="208" spans="1:21" customFormat="1" ht="15" customHeight="1" x14ac:dyDescent="0.25">
      <c r="A208" s="67">
        <v>1</v>
      </c>
      <c r="B208" s="67" t="s">
        <v>70</v>
      </c>
      <c r="C208" s="66">
        <v>29</v>
      </c>
      <c r="D208" s="66">
        <v>2906001000</v>
      </c>
      <c r="E208" s="66" t="s">
        <v>270</v>
      </c>
      <c r="F208" s="65" t="s">
        <v>275</v>
      </c>
      <c r="G208" s="65" t="s">
        <v>274</v>
      </c>
      <c r="H208" s="64"/>
      <c r="I208" s="63"/>
      <c r="J208" s="64"/>
      <c r="K208" s="63"/>
      <c r="L208" s="63">
        <f>I208-K208</f>
        <v>0</v>
      </c>
      <c r="M208" s="62"/>
      <c r="N208" s="62"/>
      <c r="O208" s="62"/>
      <c r="P208" s="62"/>
      <c r="Q208" s="68">
        <v>56193611</v>
      </c>
      <c r="R208" s="62"/>
      <c r="S208" s="61">
        <f t="shared" si="70"/>
        <v>56193611</v>
      </c>
      <c r="T208" s="61">
        <f>I208-S208</f>
        <v>-56193611</v>
      </c>
      <c r="U208" s="61"/>
    </row>
    <row r="209" spans="1:21" ht="25.5" customHeight="1" x14ac:dyDescent="0.2">
      <c r="A209" s="99">
        <v>1</v>
      </c>
      <c r="B209" s="99" t="s">
        <v>66</v>
      </c>
      <c r="C209" s="97">
        <v>29</v>
      </c>
      <c r="D209" s="97">
        <v>2906002000</v>
      </c>
      <c r="E209" s="97" t="s">
        <v>270</v>
      </c>
      <c r="F209" s="98" t="s">
        <v>273</v>
      </c>
      <c r="G209" s="97"/>
      <c r="H209" s="96">
        <v>15964132</v>
      </c>
      <c r="I209" s="96">
        <f>SUM(I210:I210)</f>
        <v>15964132</v>
      </c>
      <c r="J209" s="96">
        <f>H209-I209</f>
        <v>0</v>
      </c>
      <c r="K209" s="96">
        <f>SUM(K210:K210)</f>
        <v>15964132</v>
      </c>
      <c r="L209" s="96">
        <f t="shared" ref="L209:R209" si="80">L210</f>
        <v>0</v>
      </c>
      <c r="M209" s="96">
        <f t="shared" si="80"/>
        <v>0</v>
      </c>
      <c r="N209" s="96">
        <f t="shared" si="80"/>
        <v>0</v>
      </c>
      <c r="O209" s="96">
        <f t="shared" si="80"/>
        <v>0</v>
      </c>
      <c r="P209" s="96">
        <f t="shared" si="80"/>
        <v>0</v>
      </c>
      <c r="Q209" s="96">
        <f t="shared" si="80"/>
        <v>0</v>
      </c>
      <c r="R209" s="96">
        <f t="shared" si="80"/>
        <v>0</v>
      </c>
      <c r="S209" s="57">
        <f t="shared" si="70"/>
        <v>15964132</v>
      </c>
      <c r="T209" s="94">
        <f>H209-S209</f>
        <v>0</v>
      </c>
      <c r="U209" s="94"/>
    </row>
    <row r="210" spans="1:21" customFormat="1" ht="22.5" customHeight="1" x14ac:dyDescent="0.25">
      <c r="A210" s="67">
        <v>1</v>
      </c>
      <c r="B210" s="67" t="s">
        <v>70</v>
      </c>
      <c r="C210" s="66">
        <v>29</v>
      </c>
      <c r="D210" s="66">
        <v>2906002000</v>
      </c>
      <c r="E210" s="66" t="s">
        <v>270</v>
      </c>
      <c r="F210" s="65" t="s">
        <v>273</v>
      </c>
      <c r="G210" s="65" t="s">
        <v>272</v>
      </c>
      <c r="H210" s="64"/>
      <c r="I210" s="63">
        <v>15964132</v>
      </c>
      <c r="J210" s="64"/>
      <c r="K210" s="63">
        <v>15964132</v>
      </c>
      <c r="L210" s="63">
        <f>I210-K210</f>
        <v>0</v>
      </c>
      <c r="M210" s="62"/>
      <c r="N210" s="62"/>
      <c r="O210" s="62"/>
      <c r="P210" s="62"/>
      <c r="Q210" s="62"/>
      <c r="R210" s="62"/>
      <c r="S210" s="61">
        <f t="shared" ref="S210:S239" si="81">SUM(K210:R210)-L210</f>
        <v>15964132</v>
      </c>
      <c r="T210" s="61">
        <f>I210-S210</f>
        <v>0</v>
      </c>
      <c r="U210" s="61" t="s">
        <v>73</v>
      </c>
    </row>
    <row r="211" spans="1:21" ht="12.75" customHeight="1" x14ac:dyDescent="0.2">
      <c r="A211" s="99">
        <v>1</v>
      </c>
      <c r="B211" s="99" t="s">
        <v>66</v>
      </c>
      <c r="C211" s="97">
        <v>29</v>
      </c>
      <c r="D211" s="97">
        <v>2907001000</v>
      </c>
      <c r="E211" s="97" t="s">
        <v>270</v>
      </c>
      <c r="F211" s="98" t="s">
        <v>269</v>
      </c>
      <c r="G211" s="97"/>
      <c r="H211" s="96">
        <v>62339024</v>
      </c>
      <c r="I211" s="96">
        <f>SUM(I212:I213)</f>
        <v>37016938</v>
      </c>
      <c r="J211" s="96">
        <f>H211-I211</f>
        <v>25322086</v>
      </c>
      <c r="K211" s="96">
        <f t="shared" ref="K211:R211" si="82">SUM(K212:K213)</f>
        <v>37016938</v>
      </c>
      <c r="L211" s="96">
        <f t="shared" si="82"/>
        <v>0</v>
      </c>
      <c r="M211" s="96">
        <f t="shared" si="82"/>
        <v>0</v>
      </c>
      <c r="N211" s="96">
        <f t="shared" si="82"/>
        <v>5000000</v>
      </c>
      <c r="O211" s="96">
        <f t="shared" si="82"/>
        <v>5000000</v>
      </c>
      <c r="P211" s="96">
        <f t="shared" si="82"/>
        <v>5000000</v>
      </c>
      <c r="Q211" s="96">
        <f t="shared" si="82"/>
        <v>10322086</v>
      </c>
      <c r="R211" s="96">
        <f t="shared" si="82"/>
        <v>0</v>
      </c>
      <c r="S211" s="96">
        <f t="shared" si="81"/>
        <v>62339024</v>
      </c>
      <c r="T211" s="94">
        <f>H211-S211</f>
        <v>0</v>
      </c>
      <c r="U211" s="94"/>
    </row>
    <row r="212" spans="1:21" customFormat="1" ht="33.75" customHeight="1" x14ac:dyDescent="0.25">
      <c r="A212" s="67">
        <v>1</v>
      </c>
      <c r="B212" s="67" t="s">
        <v>70</v>
      </c>
      <c r="C212" s="66">
        <v>29</v>
      </c>
      <c r="D212" s="66">
        <v>2907001000</v>
      </c>
      <c r="E212" s="66" t="s">
        <v>270</v>
      </c>
      <c r="F212" s="65" t="s">
        <v>269</v>
      </c>
      <c r="G212" s="65" t="s">
        <v>266</v>
      </c>
      <c r="H212" s="64"/>
      <c r="I212" s="63">
        <v>37016938</v>
      </c>
      <c r="J212" s="64"/>
      <c r="K212" s="63">
        <v>37016938</v>
      </c>
      <c r="L212" s="63">
        <f>I212-K212</f>
        <v>0</v>
      </c>
      <c r="M212" s="62"/>
      <c r="N212" s="62"/>
      <c r="O212" s="62"/>
      <c r="P212" s="62"/>
      <c r="Q212" s="62"/>
      <c r="R212" s="62"/>
      <c r="S212" s="61">
        <f t="shared" si="81"/>
        <v>37016938</v>
      </c>
      <c r="T212" s="61">
        <f>I212-S212</f>
        <v>0</v>
      </c>
      <c r="U212" s="61" t="s">
        <v>73</v>
      </c>
    </row>
    <row r="213" spans="1:21" customFormat="1" ht="15" customHeight="1" x14ac:dyDescent="0.25">
      <c r="A213" s="67">
        <v>1</v>
      </c>
      <c r="B213" s="67" t="s">
        <v>70</v>
      </c>
      <c r="C213" s="66">
        <v>29</v>
      </c>
      <c r="D213" s="66">
        <v>2907001000</v>
      </c>
      <c r="E213" s="66" t="s">
        <v>270</v>
      </c>
      <c r="F213" s="65" t="s">
        <v>269</v>
      </c>
      <c r="G213" s="65" t="s">
        <v>67</v>
      </c>
      <c r="H213" s="64"/>
      <c r="I213" s="63"/>
      <c r="J213" s="64"/>
      <c r="K213" s="63"/>
      <c r="L213" s="63">
        <f>I213-K213</f>
        <v>0</v>
      </c>
      <c r="M213" s="62"/>
      <c r="N213" s="62">
        <v>5000000</v>
      </c>
      <c r="O213" s="62">
        <v>5000000</v>
      </c>
      <c r="P213" s="62">
        <v>5000000</v>
      </c>
      <c r="Q213" s="62">
        <v>10322086</v>
      </c>
      <c r="R213" s="62"/>
      <c r="S213" s="61">
        <f t="shared" si="81"/>
        <v>25322086</v>
      </c>
      <c r="T213" s="61">
        <f>I213-S213</f>
        <v>-25322086</v>
      </c>
      <c r="U213" s="61"/>
    </row>
    <row r="214" spans="1:21" ht="12.75" customHeight="1" x14ac:dyDescent="0.2">
      <c r="A214" s="99">
        <v>1</v>
      </c>
      <c r="B214" s="99" t="s">
        <v>66</v>
      </c>
      <c r="C214" s="97">
        <v>29</v>
      </c>
      <c r="D214" s="97">
        <v>2907002000</v>
      </c>
      <c r="E214" s="97" t="s">
        <v>270</v>
      </c>
      <c r="F214" s="98" t="s">
        <v>271</v>
      </c>
      <c r="G214" s="97"/>
      <c r="H214" s="96">
        <v>13982976</v>
      </c>
      <c r="I214" s="96">
        <f>SUM(I215:I215)</f>
        <v>13982976</v>
      </c>
      <c r="J214" s="96">
        <f>H214-I214</f>
        <v>0</v>
      </c>
      <c r="K214" s="96">
        <f t="shared" ref="K214:R214" si="83">SUM(K215:K215)</f>
        <v>0</v>
      </c>
      <c r="L214" s="96">
        <f t="shared" si="83"/>
        <v>13982976</v>
      </c>
      <c r="M214" s="96">
        <f t="shared" si="83"/>
        <v>0</v>
      </c>
      <c r="N214" s="96">
        <f t="shared" si="83"/>
        <v>2300000</v>
      </c>
      <c r="O214" s="96">
        <f t="shared" si="83"/>
        <v>2300000</v>
      </c>
      <c r="P214" s="96">
        <f t="shared" si="83"/>
        <v>2300000</v>
      </c>
      <c r="Q214" s="96">
        <f t="shared" si="83"/>
        <v>2300000</v>
      </c>
      <c r="R214" s="96">
        <f t="shared" si="83"/>
        <v>4782976</v>
      </c>
      <c r="S214" s="57">
        <f t="shared" si="81"/>
        <v>13982976</v>
      </c>
      <c r="T214" s="94">
        <f>H214-S214</f>
        <v>0</v>
      </c>
      <c r="U214" s="94"/>
    </row>
    <row r="215" spans="1:21" customFormat="1" ht="45" customHeight="1" x14ac:dyDescent="0.25">
      <c r="A215" s="67">
        <v>1</v>
      </c>
      <c r="B215" s="67" t="s">
        <v>70</v>
      </c>
      <c r="C215" s="66">
        <v>29</v>
      </c>
      <c r="D215" s="66">
        <v>2907002000</v>
      </c>
      <c r="E215" s="66" t="s">
        <v>270</v>
      </c>
      <c r="F215" s="65" t="s">
        <v>269</v>
      </c>
      <c r="G215" s="65" t="s">
        <v>268</v>
      </c>
      <c r="H215" s="64"/>
      <c r="I215" s="63">
        <v>13982976</v>
      </c>
      <c r="J215" s="64"/>
      <c r="K215" s="63"/>
      <c r="L215" s="63">
        <f>I215-K215</f>
        <v>13982976</v>
      </c>
      <c r="M215" s="52"/>
      <c r="N215" s="62">
        <v>2300000</v>
      </c>
      <c r="O215" s="62">
        <v>2300000</v>
      </c>
      <c r="P215" s="62">
        <v>2300000</v>
      </c>
      <c r="Q215" s="62">
        <v>2300000</v>
      </c>
      <c r="R215" s="62">
        <v>4782976</v>
      </c>
      <c r="S215" s="61">
        <f t="shared" si="81"/>
        <v>13982976</v>
      </c>
      <c r="T215" s="61">
        <f>I215-S215</f>
        <v>0</v>
      </c>
      <c r="U215" s="61"/>
    </row>
    <row r="216" spans="1:21" s="54" customFormat="1" ht="12.75" hidden="1" customHeight="1" x14ac:dyDescent="0.2">
      <c r="A216" s="60">
        <v>1</v>
      </c>
      <c r="B216" s="60" t="s">
        <v>66</v>
      </c>
      <c r="C216" s="59">
        <v>21</v>
      </c>
      <c r="D216" s="59">
        <v>21</v>
      </c>
      <c r="E216" s="59" t="s">
        <v>247</v>
      </c>
      <c r="F216" s="59" t="s">
        <v>241</v>
      </c>
      <c r="G216" s="59" t="s">
        <v>241</v>
      </c>
      <c r="H216" s="58">
        <f t="shared" ref="H216:R216" si="84">SUM(H217:H218)</f>
        <v>335630</v>
      </c>
      <c r="I216" s="58">
        <f t="shared" si="84"/>
        <v>169560</v>
      </c>
      <c r="J216" s="58">
        <f t="shared" si="84"/>
        <v>166070</v>
      </c>
      <c r="K216" s="58">
        <f t="shared" si="84"/>
        <v>169560</v>
      </c>
      <c r="L216" s="58">
        <f t="shared" si="84"/>
        <v>0</v>
      </c>
      <c r="M216" s="58">
        <f t="shared" si="84"/>
        <v>0</v>
      </c>
      <c r="N216" s="58">
        <f t="shared" si="84"/>
        <v>0</v>
      </c>
      <c r="O216" s="58">
        <f t="shared" si="84"/>
        <v>0</v>
      </c>
      <c r="P216" s="58">
        <f t="shared" si="84"/>
        <v>166070</v>
      </c>
      <c r="Q216" s="58">
        <f t="shared" si="84"/>
        <v>0</v>
      </c>
      <c r="R216" s="58">
        <f t="shared" si="84"/>
        <v>0</v>
      </c>
      <c r="S216" s="58">
        <f t="shared" si="81"/>
        <v>335630</v>
      </c>
      <c r="T216" s="58">
        <f>H216-S216</f>
        <v>0</v>
      </c>
      <c r="U216" s="57"/>
    </row>
    <row r="217" spans="1:21" ht="12.75" hidden="1" customHeight="1" x14ac:dyDescent="0.2">
      <c r="A217" s="99">
        <v>1</v>
      </c>
      <c r="B217" s="99" t="s">
        <v>66</v>
      </c>
      <c r="C217" s="97">
        <v>21</v>
      </c>
      <c r="D217" s="97">
        <v>2101004006</v>
      </c>
      <c r="E217" s="97" t="s">
        <v>247</v>
      </c>
      <c r="F217" s="98" t="s">
        <v>88</v>
      </c>
      <c r="G217" s="97"/>
      <c r="H217" s="96">
        <v>228966</v>
      </c>
      <c r="I217" s="96">
        <v>62896</v>
      </c>
      <c r="J217" s="96">
        <v>166070</v>
      </c>
      <c r="K217" s="96">
        <v>62896</v>
      </c>
      <c r="L217" s="96">
        <v>0</v>
      </c>
      <c r="M217" s="95"/>
      <c r="N217" s="95"/>
      <c r="O217" s="95"/>
      <c r="P217" s="95">
        <v>166070</v>
      </c>
      <c r="Q217" s="95"/>
      <c r="R217" s="95"/>
      <c r="S217" s="94">
        <f t="shared" si="81"/>
        <v>228966</v>
      </c>
      <c r="T217" s="94">
        <f>H217-S217</f>
        <v>0</v>
      </c>
      <c r="U217" s="94"/>
    </row>
    <row r="218" spans="1:21" ht="12.75" hidden="1" customHeight="1" x14ac:dyDescent="0.2">
      <c r="A218" s="99">
        <v>1</v>
      </c>
      <c r="B218" s="99" t="s">
        <v>66</v>
      </c>
      <c r="C218" s="97">
        <v>21</v>
      </c>
      <c r="D218" s="97">
        <v>2102004006</v>
      </c>
      <c r="E218" s="97" t="s">
        <v>247</v>
      </c>
      <c r="F218" s="98" t="s">
        <v>88</v>
      </c>
      <c r="G218" s="97"/>
      <c r="H218" s="96">
        <v>106664</v>
      </c>
      <c r="I218" s="96">
        <v>106664</v>
      </c>
      <c r="J218" s="96">
        <v>0</v>
      </c>
      <c r="K218" s="96">
        <v>106664</v>
      </c>
      <c r="L218" s="96">
        <v>0</v>
      </c>
      <c r="M218" s="95"/>
      <c r="N218" s="95"/>
      <c r="O218" s="95"/>
      <c r="P218" s="95"/>
      <c r="Q218" s="95"/>
      <c r="R218" s="95"/>
      <c r="S218" s="94">
        <f t="shared" si="81"/>
        <v>106664</v>
      </c>
      <c r="T218" s="94">
        <f>H218-S218</f>
        <v>0</v>
      </c>
      <c r="U218" s="94"/>
    </row>
    <row r="219" spans="1:21" s="54" customFormat="1" ht="12.75" hidden="1" customHeight="1" x14ac:dyDescent="0.2">
      <c r="A219" s="60">
        <v>1</v>
      </c>
      <c r="B219" s="60" t="s">
        <v>66</v>
      </c>
      <c r="C219" s="59">
        <v>22</v>
      </c>
      <c r="D219" s="59">
        <v>22</v>
      </c>
      <c r="E219" s="59" t="s">
        <v>247</v>
      </c>
      <c r="F219" s="71" t="s">
        <v>81</v>
      </c>
      <c r="G219" s="59" t="s">
        <v>86</v>
      </c>
      <c r="H219" s="58">
        <f>H220+H222+H223+H224+H225+H237</f>
        <v>154296200</v>
      </c>
      <c r="I219" s="58">
        <f>I220+I222+I223+I224+I225+I237</f>
        <v>98783155</v>
      </c>
      <c r="J219" s="58">
        <f>J220+J222+J223+J224+J225+J237</f>
        <v>55513045</v>
      </c>
      <c r="K219" s="58">
        <f>K220+K222+K223+K224+K225+K237</f>
        <v>47173186</v>
      </c>
      <c r="L219" s="58">
        <f>I219-K219</f>
        <v>51609969</v>
      </c>
      <c r="M219" s="58">
        <f t="shared" ref="M219:R219" si="85">M220+M222+M223+M224+M225+M237</f>
        <v>12922927</v>
      </c>
      <c r="N219" s="58">
        <f t="shared" si="85"/>
        <v>7462148</v>
      </c>
      <c r="O219" s="58">
        <f t="shared" si="85"/>
        <v>14966288</v>
      </c>
      <c r="P219" s="58">
        <f t="shared" si="85"/>
        <v>3962894</v>
      </c>
      <c r="Q219" s="58">
        <f t="shared" si="85"/>
        <v>3962894</v>
      </c>
      <c r="R219" s="58">
        <f t="shared" si="85"/>
        <v>63845863</v>
      </c>
      <c r="S219" s="58">
        <f t="shared" si="81"/>
        <v>154296200</v>
      </c>
      <c r="T219" s="58">
        <f>H219-S219</f>
        <v>0</v>
      </c>
      <c r="U219" s="57"/>
    </row>
    <row r="220" spans="1:21" ht="12.75" hidden="1" customHeight="1" x14ac:dyDescent="0.2">
      <c r="A220" s="99">
        <v>1</v>
      </c>
      <c r="B220" s="99" t="s">
        <v>66</v>
      </c>
      <c r="C220" s="97">
        <v>22</v>
      </c>
      <c r="D220" s="97">
        <v>2202002001</v>
      </c>
      <c r="E220" s="97" t="s">
        <v>247</v>
      </c>
      <c r="F220" s="98" t="s">
        <v>267</v>
      </c>
      <c r="G220" s="97"/>
      <c r="H220" s="96">
        <v>3770746</v>
      </c>
      <c r="I220" s="96">
        <f>SUM(I221:I221)</f>
        <v>3770746</v>
      </c>
      <c r="J220" s="96">
        <f>H220-I220</f>
        <v>0</v>
      </c>
      <c r="K220" s="96">
        <f t="shared" ref="K220:R220" si="86">SUM(K221:K221)</f>
        <v>3770746</v>
      </c>
      <c r="L220" s="96">
        <f t="shared" si="86"/>
        <v>0</v>
      </c>
      <c r="M220" s="96">
        <f t="shared" si="86"/>
        <v>0</v>
      </c>
      <c r="N220" s="96">
        <f t="shared" si="86"/>
        <v>0</v>
      </c>
      <c r="O220" s="96">
        <f t="shared" si="86"/>
        <v>0</v>
      </c>
      <c r="P220" s="96">
        <f t="shared" si="86"/>
        <v>0</v>
      </c>
      <c r="Q220" s="96">
        <f t="shared" si="86"/>
        <v>0</v>
      </c>
      <c r="R220" s="96">
        <f t="shared" si="86"/>
        <v>0</v>
      </c>
      <c r="S220" s="57">
        <f t="shared" si="81"/>
        <v>3770746</v>
      </c>
      <c r="T220" s="94">
        <f>H220-S220</f>
        <v>0</v>
      </c>
      <c r="U220" s="94"/>
    </row>
    <row r="221" spans="1:21" customFormat="1" ht="15" hidden="1" customHeight="1" x14ac:dyDescent="0.25">
      <c r="A221" s="67">
        <v>1</v>
      </c>
      <c r="B221" s="67" t="s">
        <v>70</v>
      </c>
      <c r="C221" s="66">
        <v>22</v>
      </c>
      <c r="D221" s="66">
        <v>2202002001</v>
      </c>
      <c r="E221" s="66" t="s">
        <v>247</v>
      </c>
      <c r="F221" s="65" t="s">
        <v>267</v>
      </c>
      <c r="G221" s="65" t="s">
        <v>266</v>
      </c>
      <c r="H221" s="64"/>
      <c r="I221" s="63">
        <v>3770746</v>
      </c>
      <c r="J221" s="64"/>
      <c r="K221" s="63">
        <v>3770746</v>
      </c>
      <c r="L221" s="63">
        <f>I221-K221</f>
        <v>0</v>
      </c>
      <c r="M221" s="62"/>
      <c r="N221" s="62"/>
      <c r="O221" s="62"/>
      <c r="P221" s="62"/>
      <c r="Q221" s="62"/>
      <c r="R221" s="62"/>
      <c r="S221" s="61">
        <f t="shared" si="81"/>
        <v>3770746</v>
      </c>
      <c r="T221" s="61">
        <f>I221-S221</f>
        <v>0</v>
      </c>
      <c r="U221" s="61" t="s">
        <v>73</v>
      </c>
    </row>
    <row r="222" spans="1:21" ht="12.75" hidden="1" customHeight="1" x14ac:dyDescent="0.2">
      <c r="A222" s="99">
        <v>1</v>
      </c>
      <c r="B222" s="99" t="s">
        <v>66</v>
      </c>
      <c r="C222" s="97">
        <v>22</v>
      </c>
      <c r="D222" s="97">
        <v>2202003000</v>
      </c>
      <c r="E222" s="97" t="s">
        <v>247</v>
      </c>
      <c r="F222" s="98" t="s">
        <v>265</v>
      </c>
      <c r="G222" s="97"/>
      <c r="H222" s="96">
        <v>99254</v>
      </c>
      <c r="I222" s="96">
        <v>0</v>
      </c>
      <c r="J222" s="96">
        <v>99254</v>
      </c>
      <c r="K222" s="96">
        <v>0</v>
      </c>
      <c r="L222" s="96">
        <v>0</v>
      </c>
      <c r="M222" s="96"/>
      <c r="N222" s="96">
        <v>99254</v>
      </c>
      <c r="O222" s="96"/>
      <c r="P222" s="96"/>
      <c r="Q222" s="96"/>
      <c r="R222" s="96"/>
      <c r="S222" s="57">
        <f t="shared" si="81"/>
        <v>99254</v>
      </c>
      <c r="T222" s="94">
        <f>H222-S222</f>
        <v>0</v>
      </c>
      <c r="U222" s="94"/>
    </row>
    <row r="223" spans="1:21" ht="12.75" hidden="1" customHeight="1" x14ac:dyDescent="0.2">
      <c r="A223" s="99">
        <v>1</v>
      </c>
      <c r="B223" s="99" t="s">
        <v>66</v>
      </c>
      <c r="C223" s="97">
        <v>22</v>
      </c>
      <c r="D223" s="97">
        <v>2208008001</v>
      </c>
      <c r="E223" s="97" t="s">
        <v>247</v>
      </c>
      <c r="F223" s="98" t="s">
        <v>264</v>
      </c>
      <c r="G223" s="97" t="s">
        <v>263</v>
      </c>
      <c r="H223" s="96">
        <v>30000000</v>
      </c>
      <c r="I223" s="96">
        <v>30000000</v>
      </c>
      <c r="J223" s="96">
        <v>0</v>
      </c>
      <c r="K223" s="96">
        <v>23411564</v>
      </c>
      <c r="L223" s="96">
        <v>6588436</v>
      </c>
      <c r="M223" s="96"/>
      <c r="N223" s="96">
        <v>3400000</v>
      </c>
      <c r="O223" s="96">
        <v>3188436</v>
      </c>
      <c r="P223" s="102"/>
      <c r="Q223" s="102"/>
      <c r="R223" s="102"/>
      <c r="S223" s="57">
        <f t="shared" si="81"/>
        <v>30000000</v>
      </c>
      <c r="T223" s="94">
        <f>H223-S223</f>
        <v>0</v>
      </c>
      <c r="U223" s="94"/>
    </row>
    <row r="224" spans="1:21" ht="12.75" hidden="1" customHeight="1" x14ac:dyDescent="0.2">
      <c r="A224" s="99">
        <v>1</v>
      </c>
      <c r="B224" s="99" t="s">
        <v>66</v>
      </c>
      <c r="C224" s="97">
        <v>22</v>
      </c>
      <c r="D224" s="97">
        <v>2208008002</v>
      </c>
      <c r="E224" s="97" t="s">
        <v>247</v>
      </c>
      <c r="F224" s="98" t="s">
        <v>262</v>
      </c>
      <c r="G224" s="97"/>
      <c r="H224" s="96">
        <v>52402600</v>
      </c>
      <c r="I224" s="96">
        <v>46294440</v>
      </c>
      <c r="J224" s="96">
        <v>6108160</v>
      </c>
      <c r="K224" s="96">
        <v>15195834</v>
      </c>
      <c r="L224" s="96">
        <v>31098606</v>
      </c>
      <c r="M224" s="96"/>
      <c r="N224" s="96">
        <v>3962894</v>
      </c>
      <c r="O224" s="96">
        <v>3962894</v>
      </c>
      <c r="P224" s="96">
        <v>3962894</v>
      </c>
      <c r="Q224" s="96">
        <v>3962894</v>
      </c>
      <c r="R224" s="96">
        <v>21355190</v>
      </c>
      <c r="S224" s="57">
        <f t="shared" si="81"/>
        <v>52402600</v>
      </c>
      <c r="T224" s="94">
        <f>H224-S224</f>
        <v>0</v>
      </c>
      <c r="U224" s="94"/>
    </row>
    <row r="225" spans="1:21" ht="12.75" hidden="1" customHeight="1" x14ac:dyDescent="0.2">
      <c r="A225" s="99">
        <v>1</v>
      </c>
      <c r="B225" s="99" t="s">
        <v>66</v>
      </c>
      <c r="C225" s="97">
        <v>22</v>
      </c>
      <c r="D225" s="97">
        <v>2211002001</v>
      </c>
      <c r="E225" s="97" t="s">
        <v>247</v>
      </c>
      <c r="F225" s="98" t="s">
        <v>251</v>
      </c>
      <c r="G225" s="97"/>
      <c r="H225" s="96">
        <v>58984000</v>
      </c>
      <c r="I225" s="96">
        <f>SUM(I226:I236)</f>
        <v>16493327</v>
      </c>
      <c r="J225" s="96">
        <f>H225-I225</f>
        <v>42490673</v>
      </c>
      <c r="K225" s="96">
        <f t="shared" ref="K225:R225" si="87">SUM(K226:K236)</f>
        <v>2570400</v>
      </c>
      <c r="L225" s="96">
        <f t="shared" si="87"/>
        <v>13922927</v>
      </c>
      <c r="M225" s="96">
        <f t="shared" si="87"/>
        <v>12922927</v>
      </c>
      <c r="N225" s="96">
        <f t="shared" si="87"/>
        <v>0</v>
      </c>
      <c r="O225" s="96">
        <f t="shared" si="87"/>
        <v>1000000</v>
      </c>
      <c r="P225" s="96">
        <f t="shared" si="87"/>
        <v>0</v>
      </c>
      <c r="Q225" s="96">
        <f t="shared" si="87"/>
        <v>0</v>
      </c>
      <c r="R225" s="96">
        <f t="shared" si="87"/>
        <v>42490673</v>
      </c>
      <c r="S225" s="57">
        <f t="shared" si="81"/>
        <v>58984000</v>
      </c>
      <c r="T225" s="94">
        <f>H225-S225</f>
        <v>0</v>
      </c>
      <c r="U225" s="94"/>
    </row>
    <row r="226" spans="1:21" customFormat="1" ht="45" hidden="1" customHeight="1" x14ac:dyDescent="0.25">
      <c r="A226" s="67">
        <v>1</v>
      </c>
      <c r="B226" s="67" t="s">
        <v>70</v>
      </c>
      <c r="C226" s="66">
        <v>22</v>
      </c>
      <c r="D226" s="66">
        <v>2211002001</v>
      </c>
      <c r="E226" s="66" t="s">
        <v>247</v>
      </c>
      <c r="F226" s="65" t="s">
        <v>251</v>
      </c>
      <c r="G226" s="65" t="s">
        <v>261</v>
      </c>
      <c r="H226" s="64"/>
      <c r="I226" s="63">
        <v>2570400</v>
      </c>
      <c r="J226" s="64"/>
      <c r="K226" s="63">
        <v>2570400</v>
      </c>
      <c r="L226" s="63">
        <f t="shared" ref="L226:L236" si="88">I226-K226</f>
        <v>0</v>
      </c>
      <c r="M226" s="81"/>
      <c r="N226" s="62"/>
      <c r="O226" s="62"/>
      <c r="P226" s="62"/>
      <c r="Q226" s="62"/>
      <c r="R226" s="62"/>
      <c r="S226" s="61">
        <f t="shared" si="81"/>
        <v>2570400</v>
      </c>
      <c r="T226" s="61">
        <f t="shared" ref="T226:T236" si="89">I226-S226</f>
        <v>0</v>
      </c>
      <c r="U226" s="61" t="s">
        <v>250</v>
      </c>
    </row>
    <row r="227" spans="1:21" customFormat="1" ht="56.25" hidden="1" customHeight="1" x14ac:dyDescent="0.25">
      <c r="A227" s="67">
        <v>1</v>
      </c>
      <c r="B227" s="67" t="s">
        <v>70</v>
      </c>
      <c r="C227" s="66">
        <v>22</v>
      </c>
      <c r="D227" s="66">
        <v>2211002001</v>
      </c>
      <c r="E227" s="66" t="s">
        <v>247</v>
      </c>
      <c r="F227" s="65" t="s">
        <v>251</v>
      </c>
      <c r="G227" s="65" t="s">
        <v>260</v>
      </c>
      <c r="H227" s="64"/>
      <c r="I227" s="63">
        <v>2037000</v>
      </c>
      <c r="J227" s="64"/>
      <c r="K227" s="63"/>
      <c r="L227" s="63">
        <f t="shared" si="88"/>
        <v>2037000</v>
      </c>
      <c r="M227" s="81">
        <v>2037000</v>
      </c>
      <c r="N227" s="62"/>
      <c r="O227" s="62"/>
      <c r="P227" s="62"/>
      <c r="Q227" s="62"/>
      <c r="R227" s="62"/>
      <c r="S227" s="61">
        <f t="shared" si="81"/>
        <v>2037000</v>
      </c>
      <c r="T227" s="61">
        <f t="shared" si="89"/>
        <v>0</v>
      </c>
      <c r="U227" s="101" t="s">
        <v>250</v>
      </c>
    </row>
    <row r="228" spans="1:21" customFormat="1" ht="45" hidden="1" customHeight="1" x14ac:dyDescent="0.25">
      <c r="A228" s="67">
        <v>1</v>
      </c>
      <c r="B228" s="67" t="s">
        <v>70</v>
      </c>
      <c r="C228" s="66">
        <v>22</v>
      </c>
      <c r="D228" s="66">
        <v>2211002001</v>
      </c>
      <c r="E228" s="66" t="s">
        <v>247</v>
      </c>
      <c r="F228" s="65" t="s">
        <v>251</v>
      </c>
      <c r="G228" s="65" t="s">
        <v>259</v>
      </c>
      <c r="H228" s="64"/>
      <c r="I228" s="63">
        <v>1000000</v>
      </c>
      <c r="J228" s="64"/>
      <c r="K228" s="63"/>
      <c r="L228" s="63">
        <f t="shared" si="88"/>
        <v>1000000</v>
      </c>
      <c r="M228" s="81"/>
      <c r="N228" s="62"/>
      <c r="O228" s="62">
        <v>1000000</v>
      </c>
      <c r="P228" s="62"/>
      <c r="Q228" s="62"/>
      <c r="R228" s="62"/>
      <c r="S228" s="61">
        <f t="shared" si="81"/>
        <v>1000000</v>
      </c>
      <c r="T228" s="61">
        <f t="shared" si="89"/>
        <v>0</v>
      </c>
      <c r="U228" s="101" t="s">
        <v>250</v>
      </c>
    </row>
    <row r="229" spans="1:21" customFormat="1" ht="45" hidden="1" customHeight="1" x14ac:dyDescent="0.25">
      <c r="A229" s="67">
        <v>1</v>
      </c>
      <c r="B229" s="67" t="s">
        <v>70</v>
      </c>
      <c r="C229" s="66">
        <v>22</v>
      </c>
      <c r="D229" s="66">
        <v>2211002001</v>
      </c>
      <c r="E229" s="66" t="s">
        <v>247</v>
      </c>
      <c r="F229" s="65" t="s">
        <v>251</v>
      </c>
      <c r="G229" s="65" t="s">
        <v>258</v>
      </c>
      <c r="H229" s="64"/>
      <c r="I229" s="63">
        <v>886479</v>
      </c>
      <c r="J229" s="64"/>
      <c r="K229" s="63"/>
      <c r="L229" s="63">
        <f t="shared" si="88"/>
        <v>886479</v>
      </c>
      <c r="M229" s="81">
        <v>886479</v>
      </c>
      <c r="N229" s="62"/>
      <c r="O229" s="62"/>
      <c r="P229" s="62"/>
      <c r="Q229" s="62"/>
      <c r="R229" s="62"/>
      <c r="S229" s="61">
        <f t="shared" si="81"/>
        <v>886479</v>
      </c>
      <c r="T229" s="61">
        <f t="shared" si="89"/>
        <v>0</v>
      </c>
      <c r="U229" s="101" t="s">
        <v>250</v>
      </c>
    </row>
    <row r="230" spans="1:21" customFormat="1" ht="45" hidden="1" customHeight="1" x14ac:dyDescent="0.25">
      <c r="A230" s="67">
        <v>1</v>
      </c>
      <c r="B230" s="67" t="s">
        <v>70</v>
      </c>
      <c r="C230" s="66">
        <v>22</v>
      </c>
      <c r="D230" s="66">
        <v>2211002001</v>
      </c>
      <c r="E230" s="66" t="s">
        <v>247</v>
      </c>
      <c r="F230" s="65" t="s">
        <v>251</v>
      </c>
      <c r="G230" s="65" t="s">
        <v>257</v>
      </c>
      <c r="H230" s="64"/>
      <c r="I230" s="63">
        <v>1004400</v>
      </c>
      <c r="J230" s="64"/>
      <c r="K230" s="63"/>
      <c r="L230" s="63">
        <f t="shared" si="88"/>
        <v>1004400</v>
      </c>
      <c r="M230" s="81">
        <v>1004400</v>
      </c>
      <c r="N230" s="62"/>
      <c r="O230" s="62"/>
      <c r="P230" s="62"/>
      <c r="Q230" s="62"/>
      <c r="R230" s="62"/>
      <c r="S230" s="61">
        <f t="shared" si="81"/>
        <v>1004400</v>
      </c>
      <c r="T230" s="61">
        <f t="shared" si="89"/>
        <v>0</v>
      </c>
      <c r="U230" s="101" t="s">
        <v>250</v>
      </c>
    </row>
    <row r="231" spans="1:21" customFormat="1" ht="45" hidden="1" customHeight="1" x14ac:dyDescent="0.25">
      <c r="A231" s="67">
        <v>1</v>
      </c>
      <c r="B231" s="67" t="s">
        <v>70</v>
      </c>
      <c r="C231" s="66">
        <v>22</v>
      </c>
      <c r="D231" s="66">
        <v>2211002001</v>
      </c>
      <c r="E231" s="66" t="s">
        <v>247</v>
      </c>
      <c r="F231" s="65" t="s">
        <v>251</v>
      </c>
      <c r="G231" s="65" t="s">
        <v>256</v>
      </c>
      <c r="H231" s="64"/>
      <c r="I231" s="63">
        <v>4320002</v>
      </c>
      <c r="J231" s="64"/>
      <c r="K231" s="63"/>
      <c r="L231" s="63">
        <f t="shared" si="88"/>
        <v>4320002</v>
      </c>
      <c r="M231" s="81">
        <v>4320002</v>
      </c>
      <c r="N231" s="62"/>
      <c r="O231" s="62"/>
      <c r="P231" s="62"/>
      <c r="Q231" s="62"/>
      <c r="R231" s="62"/>
      <c r="S231" s="61">
        <f t="shared" si="81"/>
        <v>4320002</v>
      </c>
      <c r="T231" s="61">
        <f t="shared" si="89"/>
        <v>0</v>
      </c>
      <c r="U231" s="101" t="s">
        <v>250</v>
      </c>
    </row>
    <row r="232" spans="1:21" customFormat="1" ht="45" hidden="1" customHeight="1" x14ac:dyDescent="0.25">
      <c r="A232" s="67">
        <v>1</v>
      </c>
      <c r="B232" s="67" t="s">
        <v>70</v>
      </c>
      <c r="C232" s="66">
        <v>22</v>
      </c>
      <c r="D232" s="66">
        <v>2211002001</v>
      </c>
      <c r="E232" s="66" t="s">
        <v>247</v>
      </c>
      <c r="F232" s="65" t="s">
        <v>251</v>
      </c>
      <c r="G232" s="65" t="s">
        <v>255</v>
      </c>
      <c r="H232" s="64"/>
      <c r="I232" s="63">
        <v>2499999</v>
      </c>
      <c r="J232" s="64"/>
      <c r="K232" s="63"/>
      <c r="L232" s="63">
        <f t="shared" si="88"/>
        <v>2499999</v>
      </c>
      <c r="M232" s="81">
        <v>2499999</v>
      </c>
      <c r="N232" s="62"/>
      <c r="O232" s="62"/>
      <c r="P232" s="62"/>
      <c r="Q232" s="62"/>
      <c r="R232" s="62"/>
      <c r="S232" s="61">
        <f t="shared" si="81"/>
        <v>2499999</v>
      </c>
      <c r="T232" s="61">
        <f t="shared" si="89"/>
        <v>0</v>
      </c>
      <c r="U232" s="101" t="s">
        <v>250</v>
      </c>
    </row>
    <row r="233" spans="1:21" customFormat="1" ht="34.5" hidden="1" customHeight="1" x14ac:dyDescent="0.25">
      <c r="A233" s="67">
        <v>1</v>
      </c>
      <c r="B233" s="67" t="s">
        <v>70</v>
      </c>
      <c r="C233" s="66">
        <v>22</v>
      </c>
      <c r="D233" s="66">
        <v>2211002001</v>
      </c>
      <c r="E233" s="66" t="s">
        <v>247</v>
      </c>
      <c r="F233" s="65" t="s">
        <v>251</v>
      </c>
      <c r="G233" s="65" t="s">
        <v>254</v>
      </c>
      <c r="H233" s="64"/>
      <c r="I233" s="63">
        <v>1499400</v>
      </c>
      <c r="J233" s="64"/>
      <c r="K233" s="63"/>
      <c r="L233" s="63">
        <f t="shared" si="88"/>
        <v>1499400</v>
      </c>
      <c r="M233" s="62">
        <v>1499400</v>
      </c>
      <c r="N233" s="62"/>
      <c r="O233" s="62"/>
      <c r="P233" s="62"/>
      <c r="Q233" s="62"/>
      <c r="R233" s="62"/>
      <c r="S233" s="61">
        <f t="shared" si="81"/>
        <v>1499400</v>
      </c>
      <c r="T233" s="61">
        <f t="shared" si="89"/>
        <v>0</v>
      </c>
      <c r="U233" s="101" t="s">
        <v>250</v>
      </c>
    </row>
    <row r="234" spans="1:21" customFormat="1" ht="50.45" hidden="1" customHeight="1" x14ac:dyDescent="0.25">
      <c r="A234" s="67">
        <v>1</v>
      </c>
      <c r="B234" s="67" t="s">
        <v>70</v>
      </c>
      <c r="C234" s="66">
        <v>22</v>
      </c>
      <c r="D234" s="66">
        <v>2211002001</v>
      </c>
      <c r="E234" s="66" t="s">
        <v>247</v>
      </c>
      <c r="F234" s="65" t="s">
        <v>251</v>
      </c>
      <c r="G234" s="65" t="s">
        <v>253</v>
      </c>
      <c r="H234" s="64"/>
      <c r="I234" s="63">
        <v>383999</v>
      </c>
      <c r="J234" s="64"/>
      <c r="K234" s="63"/>
      <c r="L234" s="63">
        <f t="shared" si="88"/>
        <v>383999</v>
      </c>
      <c r="M234" s="62">
        <v>383999</v>
      </c>
      <c r="N234" s="62"/>
      <c r="O234" s="62"/>
      <c r="P234" s="62"/>
      <c r="Q234" s="62"/>
      <c r="R234" s="62"/>
      <c r="S234" s="61">
        <f t="shared" si="81"/>
        <v>383999</v>
      </c>
      <c r="T234" s="61">
        <f t="shared" si="89"/>
        <v>0</v>
      </c>
      <c r="U234" s="101" t="s">
        <v>250</v>
      </c>
    </row>
    <row r="235" spans="1:21" customFormat="1" ht="34.5" hidden="1" customHeight="1" x14ac:dyDescent="0.25">
      <c r="A235" s="67">
        <v>1</v>
      </c>
      <c r="B235" s="67" t="s">
        <v>70</v>
      </c>
      <c r="C235" s="66">
        <v>22</v>
      </c>
      <c r="D235" s="66">
        <v>2211002001</v>
      </c>
      <c r="E235" s="66" t="s">
        <v>247</v>
      </c>
      <c r="F235" s="65" t="s">
        <v>251</v>
      </c>
      <c r="G235" s="65" t="s">
        <v>252</v>
      </c>
      <c r="H235" s="64"/>
      <c r="I235" s="63">
        <v>291648</v>
      </c>
      <c r="J235" s="64"/>
      <c r="K235" s="63"/>
      <c r="L235" s="63">
        <f t="shared" si="88"/>
        <v>291648</v>
      </c>
      <c r="M235" s="62">
        <v>291648</v>
      </c>
      <c r="N235" s="62"/>
      <c r="O235" s="62"/>
      <c r="P235" s="62"/>
      <c r="Q235" s="62"/>
      <c r="R235" s="62"/>
      <c r="S235" s="61">
        <f t="shared" si="81"/>
        <v>291648</v>
      </c>
      <c r="T235" s="61">
        <f t="shared" si="89"/>
        <v>0</v>
      </c>
      <c r="U235" s="101" t="s">
        <v>250</v>
      </c>
    </row>
    <row r="236" spans="1:21" customFormat="1" ht="15" hidden="1" customHeight="1" x14ac:dyDescent="0.25">
      <c r="A236" s="67">
        <v>1</v>
      </c>
      <c r="B236" s="67" t="s">
        <v>70</v>
      </c>
      <c r="C236" s="66">
        <v>22</v>
      </c>
      <c r="D236" s="66">
        <v>2211002001</v>
      </c>
      <c r="E236" s="66" t="s">
        <v>247</v>
      </c>
      <c r="F236" s="65" t="s">
        <v>251</v>
      </c>
      <c r="G236" s="65" t="s">
        <v>67</v>
      </c>
      <c r="H236" s="64"/>
      <c r="I236" s="63"/>
      <c r="J236" s="64"/>
      <c r="K236" s="63"/>
      <c r="L236" s="63">
        <f t="shared" si="88"/>
        <v>0</v>
      </c>
      <c r="M236" s="62"/>
      <c r="N236" s="62"/>
      <c r="O236" s="62"/>
      <c r="P236" s="62"/>
      <c r="Q236" s="62"/>
      <c r="R236" s="62">
        <v>42490673</v>
      </c>
      <c r="S236" s="61">
        <f t="shared" si="81"/>
        <v>42490673</v>
      </c>
      <c r="T236" s="61">
        <f t="shared" si="89"/>
        <v>-42490673</v>
      </c>
      <c r="U236" s="61" t="s">
        <v>250</v>
      </c>
    </row>
    <row r="237" spans="1:21" ht="12.75" hidden="1" customHeight="1" x14ac:dyDescent="0.2">
      <c r="A237" s="99">
        <v>1</v>
      </c>
      <c r="B237" s="99" t="s">
        <v>66</v>
      </c>
      <c r="C237" s="97">
        <v>22</v>
      </c>
      <c r="D237" s="97">
        <v>2211003001</v>
      </c>
      <c r="E237" s="97" t="s">
        <v>247</v>
      </c>
      <c r="F237" s="98" t="s">
        <v>246</v>
      </c>
      <c r="G237" s="97"/>
      <c r="H237" s="96">
        <v>9039600</v>
      </c>
      <c r="I237" s="96">
        <f>SUM(I238:I239)</f>
        <v>2224642</v>
      </c>
      <c r="J237" s="96">
        <f>H237-I237</f>
        <v>6814958</v>
      </c>
      <c r="K237" s="96">
        <f t="shared" ref="K237:R237" si="90">SUM(K238:K239)</f>
        <v>2224642</v>
      </c>
      <c r="L237" s="96">
        <f t="shared" si="90"/>
        <v>0</v>
      </c>
      <c r="M237" s="96">
        <f t="shared" si="90"/>
        <v>0</v>
      </c>
      <c r="N237" s="96">
        <f t="shared" si="90"/>
        <v>0</v>
      </c>
      <c r="O237" s="96">
        <f t="shared" si="90"/>
        <v>6814958</v>
      </c>
      <c r="P237" s="96">
        <f t="shared" si="90"/>
        <v>0</v>
      </c>
      <c r="Q237" s="96">
        <f t="shared" si="90"/>
        <v>0</v>
      </c>
      <c r="R237" s="96">
        <f t="shared" si="90"/>
        <v>0</v>
      </c>
      <c r="S237" s="57">
        <f t="shared" si="81"/>
        <v>9039600</v>
      </c>
      <c r="T237" s="94">
        <f>H237-S237</f>
        <v>0</v>
      </c>
      <c r="U237" s="94"/>
    </row>
    <row r="238" spans="1:21" customFormat="1" ht="56.25" hidden="1" customHeight="1" x14ac:dyDescent="0.25">
      <c r="A238" s="67">
        <v>1</v>
      </c>
      <c r="B238" s="67" t="s">
        <v>70</v>
      </c>
      <c r="C238" s="66">
        <v>22</v>
      </c>
      <c r="D238" s="66">
        <v>2211003001</v>
      </c>
      <c r="E238" s="66" t="s">
        <v>247</v>
      </c>
      <c r="F238" s="65" t="s">
        <v>246</v>
      </c>
      <c r="G238" s="79" t="s">
        <v>249</v>
      </c>
      <c r="H238" s="64"/>
      <c r="I238" s="63">
        <v>2224642</v>
      </c>
      <c r="J238" s="64"/>
      <c r="K238" s="63">
        <v>2224642</v>
      </c>
      <c r="L238" s="63">
        <f>I238-K238</f>
        <v>0</v>
      </c>
      <c r="M238" s="62"/>
      <c r="N238" s="62"/>
      <c r="O238" s="62"/>
      <c r="P238" s="62"/>
      <c r="Q238" s="62"/>
      <c r="R238" s="62"/>
      <c r="S238" s="61">
        <f t="shared" si="81"/>
        <v>2224642</v>
      </c>
      <c r="T238" s="61">
        <f>I238-S238</f>
        <v>0</v>
      </c>
      <c r="U238" s="100" t="s">
        <v>248</v>
      </c>
    </row>
    <row r="239" spans="1:21" customFormat="1" ht="15" hidden="1" customHeight="1" x14ac:dyDescent="0.25">
      <c r="A239" s="67">
        <v>1</v>
      </c>
      <c r="B239" s="67" t="s">
        <v>70</v>
      </c>
      <c r="C239" s="66">
        <v>22</v>
      </c>
      <c r="D239" s="66">
        <v>2211003001</v>
      </c>
      <c r="E239" s="66" t="s">
        <v>247</v>
      </c>
      <c r="F239" s="65" t="s">
        <v>246</v>
      </c>
      <c r="G239" s="79" t="s">
        <v>245</v>
      </c>
      <c r="H239" s="64"/>
      <c r="I239" s="63"/>
      <c r="J239" s="64"/>
      <c r="K239" s="63"/>
      <c r="L239" s="63"/>
      <c r="M239" s="62"/>
      <c r="N239" s="52"/>
      <c r="O239" s="68">
        <f>J237</f>
        <v>6814958</v>
      </c>
      <c r="P239" s="62"/>
      <c r="Q239" s="62"/>
      <c r="R239" s="62"/>
      <c r="S239" s="61">
        <f t="shared" si="81"/>
        <v>6814958</v>
      </c>
      <c r="T239" s="61">
        <f>I239-S239</f>
        <v>-6814958</v>
      </c>
      <c r="U239" s="100"/>
    </row>
    <row r="240" spans="1:21" s="54" customFormat="1" ht="12.75" hidden="1" customHeight="1" x14ac:dyDescent="0.2">
      <c r="A240" s="60">
        <v>1</v>
      </c>
      <c r="B240" s="60" t="s">
        <v>66</v>
      </c>
      <c r="C240" s="59">
        <v>21</v>
      </c>
      <c r="D240" s="59">
        <v>21</v>
      </c>
      <c r="E240" s="59" t="s">
        <v>244</v>
      </c>
      <c r="F240" s="59" t="s">
        <v>241</v>
      </c>
      <c r="G240" s="59" t="s">
        <v>241</v>
      </c>
      <c r="H240" s="58">
        <f>H241</f>
        <v>237000</v>
      </c>
      <c r="I240" s="58">
        <f>I241</f>
        <v>0</v>
      </c>
      <c r="J240" s="58">
        <f>J241</f>
        <v>237000</v>
      </c>
      <c r="K240" s="58">
        <f>K241</f>
        <v>0</v>
      </c>
      <c r="L240" s="58">
        <f>L241</f>
        <v>0</v>
      </c>
      <c r="M240" s="58">
        <f t="shared" ref="M240:T240" si="91">SUM(M241:M241)</f>
        <v>0</v>
      </c>
      <c r="N240" s="58">
        <f t="shared" si="91"/>
        <v>0</v>
      </c>
      <c r="O240" s="58">
        <f t="shared" si="91"/>
        <v>237000</v>
      </c>
      <c r="P240" s="58">
        <f t="shared" si="91"/>
        <v>0</v>
      </c>
      <c r="Q240" s="58">
        <f t="shared" si="91"/>
        <v>0</v>
      </c>
      <c r="R240" s="58">
        <f t="shared" si="91"/>
        <v>0</v>
      </c>
      <c r="S240" s="58">
        <f t="shared" si="91"/>
        <v>237000</v>
      </c>
      <c r="T240" s="58">
        <f t="shared" si="91"/>
        <v>0</v>
      </c>
      <c r="U240" s="57"/>
    </row>
    <row r="241" spans="1:21" ht="12.75" hidden="1" customHeight="1" x14ac:dyDescent="0.2">
      <c r="A241" s="99">
        <v>1</v>
      </c>
      <c r="B241" s="99" t="s">
        <v>66</v>
      </c>
      <c r="C241" s="97">
        <v>21</v>
      </c>
      <c r="D241" s="97">
        <v>2102004006</v>
      </c>
      <c r="E241" s="97" t="s">
        <v>244</v>
      </c>
      <c r="F241" s="98" t="s">
        <v>88</v>
      </c>
      <c r="G241" s="97"/>
      <c r="H241" s="96">
        <v>237000</v>
      </c>
      <c r="I241" s="96">
        <v>0</v>
      </c>
      <c r="J241" s="96">
        <v>237000</v>
      </c>
      <c r="K241" s="96">
        <v>0</v>
      </c>
      <c r="L241" s="96">
        <v>0</v>
      </c>
      <c r="M241" s="95"/>
      <c r="N241" s="95"/>
      <c r="O241" s="95">
        <v>237000</v>
      </c>
      <c r="P241" s="95"/>
      <c r="Q241" s="95"/>
      <c r="R241" s="95"/>
      <c r="S241" s="94">
        <f>SUM(K241:R241)-L241</f>
        <v>237000</v>
      </c>
      <c r="T241" s="94">
        <f>H241-S241</f>
        <v>0</v>
      </c>
      <c r="U241" s="94"/>
    </row>
    <row r="242" spans="1:21" s="54" customFormat="1" ht="12.75" hidden="1" customHeight="1" x14ac:dyDescent="0.2">
      <c r="A242" s="60">
        <v>1</v>
      </c>
      <c r="B242" s="60" t="s">
        <v>66</v>
      </c>
      <c r="C242" s="59">
        <v>21</v>
      </c>
      <c r="D242" s="59">
        <v>21</v>
      </c>
      <c r="E242" s="59" t="s">
        <v>243</v>
      </c>
      <c r="F242" s="59" t="s">
        <v>241</v>
      </c>
      <c r="G242" s="59" t="s">
        <v>241</v>
      </c>
      <c r="H242" s="58">
        <f>H243</f>
        <v>10884635</v>
      </c>
      <c r="I242" s="58">
        <f>I243</f>
        <v>8406942</v>
      </c>
      <c r="J242" s="58">
        <f>J243</f>
        <v>2477693</v>
      </c>
      <c r="K242" s="58">
        <f>K243</f>
        <v>8406942</v>
      </c>
      <c r="L242" s="58">
        <f>L243</f>
        <v>0</v>
      </c>
      <c r="M242" s="58">
        <f t="shared" ref="M242:T242" si="92">SUM(M243:M243)</f>
        <v>300000</v>
      </c>
      <c r="N242" s="58">
        <f t="shared" si="92"/>
        <v>300000</v>
      </c>
      <c r="O242" s="58">
        <f t="shared" si="92"/>
        <v>412949</v>
      </c>
      <c r="P242" s="58">
        <f t="shared" si="92"/>
        <v>525898</v>
      </c>
      <c r="Q242" s="58">
        <f t="shared" si="92"/>
        <v>525898</v>
      </c>
      <c r="R242" s="58">
        <f t="shared" si="92"/>
        <v>412948</v>
      </c>
      <c r="S242" s="58">
        <f t="shared" si="92"/>
        <v>10884635</v>
      </c>
      <c r="T242" s="58">
        <f t="shared" si="92"/>
        <v>0</v>
      </c>
      <c r="U242" s="57"/>
    </row>
    <row r="243" spans="1:21" ht="12.75" hidden="1" customHeight="1" x14ac:dyDescent="0.2">
      <c r="A243" s="99">
        <v>1</v>
      </c>
      <c r="B243" s="99" t="s">
        <v>66</v>
      </c>
      <c r="C243" s="97">
        <v>21</v>
      </c>
      <c r="D243" s="97">
        <v>2102004006</v>
      </c>
      <c r="E243" s="97" t="s">
        <v>243</v>
      </c>
      <c r="F243" s="98" t="s">
        <v>88</v>
      </c>
      <c r="G243" s="97"/>
      <c r="H243" s="96">
        <v>10884635</v>
      </c>
      <c r="I243" s="96">
        <v>8406942</v>
      </c>
      <c r="J243" s="96">
        <v>2477693</v>
      </c>
      <c r="K243" s="96">
        <v>8406942</v>
      </c>
      <c r="L243" s="96">
        <v>0</v>
      </c>
      <c r="M243" s="95">
        <v>300000</v>
      </c>
      <c r="N243" s="95">
        <v>300000</v>
      </c>
      <c r="O243" s="95">
        <v>412949</v>
      </c>
      <c r="P243" s="95">
        <v>525898</v>
      </c>
      <c r="Q243" s="95">
        <v>525898</v>
      </c>
      <c r="R243" s="95">
        <v>412948</v>
      </c>
      <c r="S243" s="94">
        <f>SUM(K243:R243)-L243</f>
        <v>10884635</v>
      </c>
      <c r="T243" s="94">
        <f>H243-S243</f>
        <v>0</v>
      </c>
      <c r="U243" s="94"/>
    </row>
    <row r="244" spans="1:21" s="54" customFormat="1" ht="12.75" hidden="1" customHeight="1" x14ac:dyDescent="0.2">
      <c r="A244" s="60">
        <v>1</v>
      </c>
      <c r="B244" s="60" t="s">
        <v>66</v>
      </c>
      <c r="C244" s="59">
        <v>21</v>
      </c>
      <c r="D244" s="59">
        <v>21</v>
      </c>
      <c r="E244" s="59" t="s">
        <v>242</v>
      </c>
      <c r="F244" s="59" t="s">
        <v>241</v>
      </c>
      <c r="G244" s="59" t="s">
        <v>241</v>
      </c>
      <c r="H244" s="58">
        <f>H245</f>
        <v>720540</v>
      </c>
      <c r="I244" s="58">
        <f>I245</f>
        <v>0</v>
      </c>
      <c r="J244" s="58">
        <f>J245</f>
        <v>720540</v>
      </c>
      <c r="K244" s="58">
        <f>K245</f>
        <v>0</v>
      </c>
      <c r="L244" s="58">
        <f>L245</f>
        <v>0</v>
      </c>
      <c r="M244" s="58">
        <f t="shared" ref="M244:T244" si="93">SUM(M245:M245)</f>
        <v>0</v>
      </c>
      <c r="N244" s="58">
        <f t="shared" si="93"/>
        <v>0</v>
      </c>
      <c r="O244" s="58">
        <f t="shared" si="93"/>
        <v>120090</v>
      </c>
      <c r="P244" s="58">
        <f t="shared" si="93"/>
        <v>120090</v>
      </c>
      <c r="Q244" s="58">
        <f t="shared" si="93"/>
        <v>120090</v>
      </c>
      <c r="R244" s="58">
        <f t="shared" si="93"/>
        <v>360270</v>
      </c>
      <c r="S244" s="58">
        <f t="shared" si="93"/>
        <v>720540</v>
      </c>
      <c r="T244" s="58">
        <f t="shared" si="93"/>
        <v>0</v>
      </c>
      <c r="U244" s="57"/>
    </row>
    <row r="245" spans="1:21" ht="12.75" hidden="1" customHeight="1" x14ac:dyDescent="0.2">
      <c r="A245" s="99">
        <v>1</v>
      </c>
      <c r="B245" s="99" t="s">
        <v>66</v>
      </c>
      <c r="C245" s="97">
        <v>21</v>
      </c>
      <c r="D245" s="97">
        <v>2101004006</v>
      </c>
      <c r="E245" s="97" t="s">
        <v>242</v>
      </c>
      <c r="F245" s="98" t="s">
        <v>88</v>
      </c>
      <c r="G245" s="97"/>
      <c r="H245" s="96">
        <v>720540</v>
      </c>
      <c r="I245" s="96">
        <v>0</v>
      </c>
      <c r="J245" s="96">
        <v>720540</v>
      </c>
      <c r="K245" s="96">
        <v>0</v>
      </c>
      <c r="L245" s="96">
        <v>0</v>
      </c>
      <c r="M245" s="95"/>
      <c r="N245" s="95"/>
      <c r="O245" s="95">
        <v>120090</v>
      </c>
      <c r="P245" s="95">
        <v>120090</v>
      </c>
      <c r="Q245" s="95">
        <v>120090</v>
      </c>
      <c r="R245" s="95">
        <v>360270</v>
      </c>
      <c r="S245" s="94">
        <f>SUM(K245:R245)-L245</f>
        <v>720540</v>
      </c>
      <c r="T245" s="94">
        <f>H245-S245</f>
        <v>0</v>
      </c>
      <c r="U245" s="94"/>
    </row>
    <row r="246" spans="1:21" s="54" customFormat="1" ht="12.75" hidden="1" customHeight="1" x14ac:dyDescent="0.2">
      <c r="A246" s="60">
        <v>1</v>
      </c>
      <c r="B246" s="60" t="s">
        <v>66</v>
      </c>
      <c r="C246" s="59">
        <v>21</v>
      </c>
      <c r="D246" s="59">
        <v>21</v>
      </c>
      <c r="E246" s="59" t="s">
        <v>240</v>
      </c>
      <c r="F246" s="59" t="s">
        <v>241</v>
      </c>
      <c r="G246" s="59" t="s">
        <v>241</v>
      </c>
      <c r="H246" s="58">
        <f>H247</f>
        <v>395000</v>
      </c>
      <c r="I246" s="58">
        <f>I247</f>
        <v>0</v>
      </c>
      <c r="J246" s="58">
        <f>J247</f>
        <v>395000</v>
      </c>
      <c r="K246" s="58">
        <f>K247</f>
        <v>0</v>
      </c>
      <c r="L246" s="58">
        <f>L247</f>
        <v>0</v>
      </c>
      <c r="M246" s="58">
        <f t="shared" ref="M246:T246" si="94">SUM(M247:M247)</f>
        <v>0</v>
      </c>
      <c r="N246" s="58">
        <f t="shared" si="94"/>
        <v>0</v>
      </c>
      <c r="O246" s="58">
        <f t="shared" si="94"/>
        <v>100000</v>
      </c>
      <c r="P246" s="58">
        <f t="shared" si="94"/>
        <v>100000</v>
      </c>
      <c r="Q246" s="58">
        <f t="shared" si="94"/>
        <v>95000</v>
      </c>
      <c r="R246" s="58">
        <f t="shared" si="94"/>
        <v>100000</v>
      </c>
      <c r="S246" s="58">
        <f t="shared" si="94"/>
        <v>395000</v>
      </c>
      <c r="T246" s="58">
        <f t="shared" si="94"/>
        <v>0</v>
      </c>
      <c r="U246" s="57"/>
    </row>
    <row r="247" spans="1:21" ht="12.75" hidden="1" customHeight="1" x14ac:dyDescent="0.2">
      <c r="A247" s="99">
        <v>1</v>
      </c>
      <c r="B247" s="99" t="s">
        <v>66</v>
      </c>
      <c r="C247" s="97">
        <v>21</v>
      </c>
      <c r="D247" s="97">
        <v>2102004006</v>
      </c>
      <c r="E247" s="97" t="s">
        <v>240</v>
      </c>
      <c r="F247" s="98" t="s">
        <v>88</v>
      </c>
      <c r="G247" s="97"/>
      <c r="H247" s="96">
        <v>395000</v>
      </c>
      <c r="I247" s="96">
        <v>0</v>
      </c>
      <c r="J247" s="96">
        <v>395000</v>
      </c>
      <c r="K247" s="96">
        <v>0</v>
      </c>
      <c r="L247" s="96">
        <v>0</v>
      </c>
      <c r="M247" s="95"/>
      <c r="N247" s="95"/>
      <c r="O247" s="95">
        <v>100000</v>
      </c>
      <c r="P247" s="95">
        <v>100000</v>
      </c>
      <c r="Q247" s="95">
        <v>95000</v>
      </c>
      <c r="R247" s="95">
        <v>100000</v>
      </c>
      <c r="S247" s="94">
        <f>SUM(K247:R247)-L247</f>
        <v>395000</v>
      </c>
      <c r="T247" s="94">
        <f>H247-S247</f>
        <v>0</v>
      </c>
      <c r="U247" s="94"/>
    </row>
    <row r="248" spans="1:21" s="54" customFormat="1" ht="12.75" hidden="1" customHeight="1" x14ac:dyDescent="0.2">
      <c r="A248" s="60">
        <v>1</v>
      </c>
      <c r="B248" s="60" t="s">
        <v>66</v>
      </c>
      <c r="C248" s="59">
        <v>34</v>
      </c>
      <c r="D248" s="59">
        <v>34</v>
      </c>
      <c r="E248" s="59" t="s">
        <v>239</v>
      </c>
      <c r="F248" s="59" t="s">
        <v>61</v>
      </c>
      <c r="G248" s="59" t="s">
        <v>61</v>
      </c>
      <c r="H248" s="58">
        <f>H249+H250</f>
        <v>371150000</v>
      </c>
      <c r="I248" s="58">
        <f>I249+I250</f>
        <v>371150000</v>
      </c>
      <c r="J248" s="58">
        <f>J249+J250</f>
        <v>0</v>
      </c>
      <c r="K248" s="58">
        <f>K249+K250</f>
        <v>242078547</v>
      </c>
      <c r="L248" s="58">
        <f>L249+L250</f>
        <v>129071453</v>
      </c>
      <c r="M248" s="58">
        <f t="shared" ref="M248:T248" si="95">SUM(M249:M258)</f>
        <v>0</v>
      </c>
      <c r="N248" s="58">
        <f t="shared" si="95"/>
        <v>0</v>
      </c>
      <c r="O248" s="58">
        <f t="shared" si="95"/>
        <v>0</v>
      </c>
      <c r="P248" s="58">
        <f t="shared" si="95"/>
        <v>129071453</v>
      </c>
      <c r="Q248" s="58">
        <f t="shared" si="95"/>
        <v>0</v>
      </c>
      <c r="R248" s="58">
        <f t="shared" si="95"/>
        <v>0</v>
      </c>
      <c r="S248" s="58">
        <f t="shared" si="95"/>
        <v>371150000</v>
      </c>
      <c r="T248" s="58">
        <f t="shared" si="95"/>
        <v>0</v>
      </c>
      <c r="U248" s="57"/>
    </row>
    <row r="249" spans="1:21" ht="12.75" hidden="1" customHeight="1" x14ac:dyDescent="0.2">
      <c r="A249" s="99">
        <v>1</v>
      </c>
      <c r="B249" s="99" t="s">
        <v>66</v>
      </c>
      <c r="C249" s="97">
        <v>21</v>
      </c>
      <c r="D249" s="97">
        <v>3402002000</v>
      </c>
      <c r="E249" s="97" t="s">
        <v>239</v>
      </c>
      <c r="F249" s="98" t="s">
        <v>61</v>
      </c>
      <c r="G249" s="97"/>
      <c r="H249" s="96">
        <v>329941000</v>
      </c>
      <c r="I249" s="96">
        <v>329941000</v>
      </c>
      <c r="J249" s="96">
        <v>0</v>
      </c>
      <c r="K249" s="96">
        <v>217939090</v>
      </c>
      <c r="L249" s="96">
        <v>112001910</v>
      </c>
      <c r="M249" s="95"/>
      <c r="N249" s="95"/>
      <c r="O249" s="95"/>
      <c r="P249" s="95">
        <v>112001910</v>
      </c>
      <c r="Q249" s="95"/>
      <c r="R249" s="95"/>
      <c r="S249" s="94">
        <f>SUM(K249:R249)-L249</f>
        <v>329941000</v>
      </c>
      <c r="T249" s="94">
        <f>H249-S249</f>
        <v>0</v>
      </c>
      <c r="U249" s="94"/>
    </row>
    <row r="250" spans="1:21" ht="12.75" hidden="1" customHeight="1" x14ac:dyDescent="0.2">
      <c r="A250" s="99">
        <v>1</v>
      </c>
      <c r="B250" s="99" t="s">
        <v>66</v>
      </c>
      <c r="C250" s="97">
        <v>21</v>
      </c>
      <c r="D250" s="97">
        <v>3404002000</v>
      </c>
      <c r="E250" s="97" t="s">
        <v>239</v>
      </c>
      <c r="F250" s="98" t="s">
        <v>61</v>
      </c>
      <c r="G250" s="97"/>
      <c r="H250" s="96">
        <v>41209000</v>
      </c>
      <c r="I250" s="96">
        <v>41209000</v>
      </c>
      <c r="J250" s="96">
        <v>0</v>
      </c>
      <c r="K250" s="96">
        <v>24139457</v>
      </c>
      <c r="L250" s="96">
        <v>17069543</v>
      </c>
      <c r="M250" s="95"/>
      <c r="N250" s="95"/>
      <c r="O250" s="95"/>
      <c r="P250" s="95">
        <v>17069543</v>
      </c>
      <c r="Q250" s="95"/>
      <c r="R250" s="95"/>
      <c r="S250" s="94">
        <f>SUM(K250:R250)-L250</f>
        <v>41209000</v>
      </c>
      <c r="T250" s="94">
        <f>H250-S250</f>
        <v>0</v>
      </c>
      <c r="U250" s="94"/>
    </row>
    <row r="251" spans="1:21" x14ac:dyDescent="0.2">
      <c r="O251" s="56"/>
    </row>
    <row r="252" spans="1:21" x14ac:dyDescent="0.2">
      <c r="Q252" s="56"/>
    </row>
    <row r="253" spans="1:21" x14ac:dyDescent="0.2">
      <c r="Q253" s="56"/>
    </row>
    <row r="255" spans="1:21" x14ac:dyDescent="0.2">
      <c r="R255" s="56"/>
    </row>
    <row r="256" spans="1:21" x14ac:dyDescent="0.2">
      <c r="M256" s="56"/>
    </row>
  </sheetData>
  <autoFilter ref="A2:W250" xr:uid="{00000000-0009-0000-0000-000002000000}">
    <filterColumn colId="2">
      <filters>
        <filter val="29"/>
      </filters>
    </filterColumn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B2:I76"/>
  <sheetViews>
    <sheetView topLeftCell="A13" workbookViewId="0">
      <selection activeCell="G34" sqref="G34:I67"/>
    </sheetView>
  </sheetViews>
  <sheetFormatPr baseColWidth="10" defaultRowHeight="15" x14ac:dyDescent="0.25"/>
  <cols>
    <col min="6" max="6" width="28" bestFit="1" customWidth="1"/>
    <col min="7" max="7" width="35.5703125" bestFit="1" customWidth="1"/>
    <col min="8" max="8" width="0" hidden="1" customWidth="1"/>
  </cols>
  <sheetData>
    <row r="2" spans="2:9" x14ac:dyDescent="0.25">
      <c r="H2" t="s">
        <v>27</v>
      </c>
      <c r="I2" t="s">
        <v>28</v>
      </c>
    </row>
    <row r="3" spans="2:9" x14ac:dyDescent="0.25">
      <c r="B3" s="60" t="s">
        <v>66</v>
      </c>
      <c r="C3" s="59">
        <v>24</v>
      </c>
      <c r="D3" s="59">
        <v>24</v>
      </c>
      <c r="E3" s="59" t="s">
        <v>69</v>
      </c>
      <c r="F3" s="59" t="s">
        <v>65</v>
      </c>
      <c r="G3" s="59" t="s">
        <v>77</v>
      </c>
      <c r="H3" s="58"/>
      <c r="I3" s="58">
        <v>700000000</v>
      </c>
    </row>
    <row r="4" spans="2:9" x14ac:dyDescent="0.25">
      <c r="B4" s="60" t="s">
        <v>66</v>
      </c>
      <c r="C4" s="59">
        <v>24</v>
      </c>
      <c r="D4" s="59">
        <v>24</v>
      </c>
      <c r="E4" s="59" t="s">
        <v>69</v>
      </c>
      <c r="F4" s="59" t="s">
        <v>65</v>
      </c>
      <c r="G4" s="59" t="s">
        <v>76</v>
      </c>
      <c r="H4" s="58"/>
      <c r="I4" s="58">
        <v>800000000</v>
      </c>
    </row>
    <row r="5" spans="2:9" hidden="1" x14ac:dyDescent="0.25">
      <c r="B5" s="60" t="s">
        <v>66</v>
      </c>
      <c r="C5" s="59">
        <v>24</v>
      </c>
      <c r="D5" s="59">
        <v>24</v>
      </c>
      <c r="E5" s="59" t="s">
        <v>69</v>
      </c>
      <c r="F5" s="59" t="s">
        <v>68</v>
      </c>
      <c r="G5" s="59" t="s">
        <v>75</v>
      </c>
      <c r="H5" s="58">
        <v>0</v>
      </c>
      <c r="I5" s="58">
        <v>0</v>
      </c>
    </row>
    <row r="6" spans="2:9" hidden="1" x14ac:dyDescent="0.25">
      <c r="B6" s="67" t="s">
        <v>70</v>
      </c>
      <c r="C6" s="66">
        <v>24</v>
      </c>
      <c r="D6" s="66">
        <v>2403041</v>
      </c>
      <c r="E6" s="66" t="s">
        <v>69</v>
      </c>
      <c r="F6" s="65" t="s">
        <v>68</v>
      </c>
      <c r="G6" s="65" t="s">
        <v>74</v>
      </c>
      <c r="H6" s="62"/>
      <c r="I6" s="62"/>
    </row>
    <row r="7" spans="2:9" hidden="1" x14ac:dyDescent="0.25">
      <c r="B7" s="67" t="s">
        <v>70</v>
      </c>
      <c r="C7" s="66">
        <v>24</v>
      </c>
      <c r="D7" s="66">
        <v>2403041</v>
      </c>
      <c r="E7" s="66" t="s">
        <v>69</v>
      </c>
      <c r="F7" s="65" t="s">
        <v>68</v>
      </c>
      <c r="G7" s="65" t="s">
        <v>67</v>
      </c>
      <c r="H7" s="62"/>
      <c r="I7" s="62"/>
    </row>
    <row r="8" spans="2:9" x14ac:dyDescent="0.25">
      <c r="B8" s="60" t="s">
        <v>66</v>
      </c>
      <c r="C8" s="59">
        <v>24</v>
      </c>
      <c r="D8" s="59">
        <v>24</v>
      </c>
      <c r="E8" s="59" t="s">
        <v>69</v>
      </c>
      <c r="F8" s="59" t="s">
        <v>68</v>
      </c>
      <c r="G8" s="59" t="s">
        <v>72</v>
      </c>
      <c r="H8" s="58">
        <v>40000000</v>
      </c>
      <c r="I8" s="58">
        <v>100000000</v>
      </c>
    </row>
    <row r="9" spans="2:9" hidden="1" x14ac:dyDescent="0.25">
      <c r="B9" s="67" t="s">
        <v>70</v>
      </c>
      <c r="C9" s="66">
        <v>24</v>
      </c>
      <c r="D9" s="66">
        <v>2403041</v>
      </c>
      <c r="E9" s="66" t="s">
        <v>69</v>
      </c>
      <c r="F9" s="65" t="s">
        <v>68</v>
      </c>
      <c r="G9" s="65" t="s">
        <v>71</v>
      </c>
      <c r="H9" s="62">
        <v>40000000</v>
      </c>
      <c r="I9" s="62"/>
    </row>
    <row r="10" spans="2:9" x14ac:dyDescent="0.25">
      <c r="B10" s="67" t="s">
        <v>70</v>
      </c>
      <c r="C10" s="66">
        <v>24</v>
      </c>
      <c r="D10" s="66">
        <v>2403041</v>
      </c>
      <c r="E10" s="66" t="s">
        <v>69</v>
      </c>
      <c r="F10" s="65" t="s">
        <v>68</v>
      </c>
      <c r="G10" s="65" t="s">
        <v>67</v>
      </c>
      <c r="H10" s="62"/>
      <c r="I10" s="62">
        <v>100000000</v>
      </c>
    </row>
    <row r="11" spans="2:9" x14ac:dyDescent="0.25">
      <c r="B11" s="60" t="s">
        <v>66</v>
      </c>
      <c r="C11" s="59">
        <v>24</v>
      </c>
      <c r="D11" s="59">
        <v>24</v>
      </c>
      <c r="E11" s="59" t="s">
        <v>202</v>
      </c>
      <c r="F11" s="59" t="s">
        <v>65</v>
      </c>
      <c r="G11" s="59" t="s">
        <v>64</v>
      </c>
      <c r="H11" s="58">
        <v>80000000</v>
      </c>
      <c r="I11" s="58">
        <v>120000000</v>
      </c>
    </row>
    <row r="12" spans="2:9" hidden="1" x14ac:dyDescent="0.25">
      <c r="B12" s="67" t="s">
        <v>70</v>
      </c>
      <c r="C12" s="66">
        <v>24</v>
      </c>
      <c r="D12" s="66">
        <v>2403109</v>
      </c>
      <c r="E12" s="66" t="s">
        <v>202</v>
      </c>
      <c r="F12" s="66" t="s">
        <v>65</v>
      </c>
      <c r="G12" s="65" t="s">
        <v>165</v>
      </c>
      <c r="H12" s="62"/>
      <c r="I12" s="62"/>
    </row>
    <row r="13" spans="2:9" x14ac:dyDescent="0.25">
      <c r="B13" s="67" t="s">
        <v>70</v>
      </c>
      <c r="C13" s="66">
        <v>24</v>
      </c>
      <c r="D13" s="66">
        <v>2403109</v>
      </c>
      <c r="E13" s="66" t="s">
        <v>202</v>
      </c>
      <c r="F13" s="66" t="s">
        <v>65</v>
      </c>
      <c r="G13" s="65" t="s">
        <v>209</v>
      </c>
      <c r="H13" s="74"/>
      <c r="I13" s="62">
        <v>40000000</v>
      </c>
    </row>
    <row r="14" spans="2:9" ht="22.5" hidden="1" x14ac:dyDescent="0.25">
      <c r="B14" s="67" t="s">
        <v>70</v>
      </c>
      <c r="C14" s="66">
        <v>24</v>
      </c>
      <c r="D14" s="66">
        <v>2403109</v>
      </c>
      <c r="E14" s="66" t="s">
        <v>202</v>
      </c>
      <c r="F14" s="66" t="s">
        <v>65</v>
      </c>
      <c r="G14" s="65" t="s">
        <v>208</v>
      </c>
      <c r="H14" s="62">
        <v>40000000</v>
      </c>
      <c r="I14" s="74"/>
    </row>
    <row r="15" spans="2:9" ht="22.5" hidden="1" x14ac:dyDescent="0.25">
      <c r="B15" s="67" t="s">
        <v>70</v>
      </c>
      <c r="C15" s="66">
        <v>24</v>
      </c>
      <c r="D15" s="66">
        <v>2403109</v>
      </c>
      <c r="E15" s="66" t="s">
        <v>202</v>
      </c>
      <c r="F15" s="66" t="s">
        <v>65</v>
      </c>
      <c r="G15" s="65" t="s">
        <v>207</v>
      </c>
      <c r="H15" s="74"/>
      <c r="I15" s="74"/>
    </row>
    <row r="16" spans="2:9" ht="22.5" hidden="1" x14ac:dyDescent="0.25">
      <c r="B16" s="67" t="s">
        <v>70</v>
      </c>
      <c r="C16" s="66">
        <v>24</v>
      </c>
      <c r="D16" s="66">
        <v>2403109</v>
      </c>
      <c r="E16" s="66" t="s">
        <v>202</v>
      </c>
      <c r="F16" s="66" t="s">
        <v>65</v>
      </c>
      <c r="G16" s="65" t="s">
        <v>206</v>
      </c>
      <c r="H16" s="62"/>
      <c r="I16" s="74"/>
    </row>
    <row r="17" spans="2:9" ht="22.5" hidden="1" x14ac:dyDescent="0.25">
      <c r="B17" s="67" t="s">
        <v>70</v>
      </c>
      <c r="C17" s="66">
        <v>24</v>
      </c>
      <c r="D17" s="66">
        <v>2403109</v>
      </c>
      <c r="E17" s="66" t="s">
        <v>202</v>
      </c>
      <c r="F17" s="66" t="s">
        <v>65</v>
      </c>
      <c r="G17" s="65" t="s">
        <v>205</v>
      </c>
      <c r="H17" s="62">
        <v>40000000</v>
      </c>
      <c r="I17" s="74"/>
    </row>
    <row r="18" spans="2:9" ht="22.5" x14ac:dyDescent="0.25">
      <c r="B18" s="67" t="s">
        <v>70</v>
      </c>
      <c r="C18" s="66">
        <v>24</v>
      </c>
      <c r="D18" s="66">
        <v>2403109</v>
      </c>
      <c r="E18" s="66" t="s">
        <v>202</v>
      </c>
      <c r="F18" s="66" t="s">
        <v>65</v>
      </c>
      <c r="G18" s="65" t="s">
        <v>204</v>
      </c>
      <c r="H18" s="74"/>
      <c r="I18" s="62">
        <v>40000000</v>
      </c>
    </row>
    <row r="19" spans="2:9" ht="22.5" x14ac:dyDescent="0.25">
      <c r="B19" s="67" t="s">
        <v>70</v>
      </c>
      <c r="C19" s="66">
        <v>24</v>
      </c>
      <c r="D19" s="66">
        <v>2403109</v>
      </c>
      <c r="E19" s="66" t="s">
        <v>202</v>
      </c>
      <c r="F19" s="66" t="s">
        <v>65</v>
      </c>
      <c r="G19" s="65" t="s">
        <v>203</v>
      </c>
      <c r="H19" s="74"/>
      <c r="I19" s="62">
        <v>40000000</v>
      </c>
    </row>
    <row r="20" spans="2:9" hidden="1" x14ac:dyDescent="0.25">
      <c r="B20" s="67" t="s">
        <v>70</v>
      </c>
      <c r="C20" s="66">
        <v>24</v>
      </c>
      <c r="D20" s="66">
        <v>2403109</v>
      </c>
      <c r="E20" s="66" t="s">
        <v>202</v>
      </c>
      <c r="F20" s="66" t="s">
        <v>65</v>
      </c>
      <c r="G20" s="65" t="s">
        <v>67</v>
      </c>
      <c r="H20" s="62"/>
      <c r="I20" s="62"/>
    </row>
    <row r="21" spans="2:9" x14ac:dyDescent="0.25">
      <c r="B21" s="60" t="s">
        <v>66</v>
      </c>
      <c r="C21" s="59">
        <v>24</v>
      </c>
      <c r="D21" s="59">
        <v>24</v>
      </c>
      <c r="E21" s="59" t="s">
        <v>93</v>
      </c>
      <c r="F21" s="59" t="s">
        <v>65</v>
      </c>
      <c r="G21" s="59" t="s">
        <v>64</v>
      </c>
      <c r="H21" s="58">
        <v>0</v>
      </c>
      <c r="I21" s="58">
        <v>125000000</v>
      </c>
    </row>
    <row r="22" spans="2:9" hidden="1" x14ac:dyDescent="0.25">
      <c r="B22" s="67" t="s">
        <v>70</v>
      </c>
      <c r="C22" s="66">
        <v>24</v>
      </c>
      <c r="D22" s="66">
        <v>2403111</v>
      </c>
      <c r="E22" s="66" t="s">
        <v>93</v>
      </c>
      <c r="F22" s="66" t="s">
        <v>65</v>
      </c>
      <c r="G22" s="65" t="s">
        <v>73</v>
      </c>
      <c r="H22" s="62"/>
      <c r="I22" s="62"/>
    </row>
    <row r="23" spans="2:9" x14ac:dyDescent="0.25">
      <c r="B23" s="67" t="s">
        <v>70</v>
      </c>
      <c r="C23" s="66">
        <v>24</v>
      </c>
      <c r="D23" s="66">
        <v>2403111</v>
      </c>
      <c r="E23" s="66" t="s">
        <v>93</v>
      </c>
      <c r="F23" s="66" t="s">
        <v>65</v>
      </c>
      <c r="G23" s="65" t="s">
        <v>97</v>
      </c>
      <c r="H23" s="62"/>
      <c r="I23" s="68">
        <v>125000000</v>
      </c>
    </row>
    <row r="24" spans="2:9" x14ac:dyDescent="0.25">
      <c r="B24" s="60" t="s">
        <v>66</v>
      </c>
      <c r="C24" s="59">
        <v>24</v>
      </c>
      <c r="D24" s="59">
        <v>24</v>
      </c>
      <c r="E24" s="59" t="s">
        <v>179</v>
      </c>
      <c r="F24" s="59" t="s">
        <v>65</v>
      </c>
      <c r="G24" s="59" t="s">
        <v>64</v>
      </c>
      <c r="H24" s="58">
        <v>0</v>
      </c>
      <c r="I24" s="58">
        <v>44496898</v>
      </c>
    </row>
    <row r="25" spans="2:9" hidden="1" x14ac:dyDescent="0.25">
      <c r="B25" s="67" t="s">
        <v>70</v>
      </c>
      <c r="C25" s="66">
        <v>24</v>
      </c>
      <c r="D25" s="66">
        <v>2403112</v>
      </c>
      <c r="E25" s="66" t="s">
        <v>179</v>
      </c>
      <c r="F25" s="66" t="s">
        <v>65</v>
      </c>
      <c r="G25" s="65" t="s">
        <v>67</v>
      </c>
      <c r="H25" s="74"/>
      <c r="I25" s="62"/>
    </row>
    <row r="26" spans="2:9" hidden="1" x14ac:dyDescent="0.25">
      <c r="B26" s="67" t="s">
        <v>70</v>
      </c>
      <c r="C26" s="66">
        <v>24</v>
      </c>
      <c r="D26" s="66">
        <v>2403112</v>
      </c>
      <c r="E26" s="66" t="s">
        <v>179</v>
      </c>
      <c r="F26" s="66" t="s">
        <v>65</v>
      </c>
      <c r="G26" s="65" t="s">
        <v>165</v>
      </c>
      <c r="H26" s="62"/>
      <c r="I26" s="62"/>
    </row>
    <row r="27" spans="2:9" ht="22.5" x14ac:dyDescent="0.25">
      <c r="B27" s="67" t="s">
        <v>70</v>
      </c>
      <c r="C27" s="66">
        <v>24</v>
      </c>
      <c r="D27" s="66">
        <v>2403112</v>
      </c>
      <c r="E27" s="66" t="s">
        <v>179</v>
      </c>
      <c r="F27" s="66" t="s">
        <v>65</v>
      </c>
      <c r="G27" s="65" t="s">
        <v>178</v>
      </c>
      <c r="H27" s="74"/>
      <c r="I27" s="62">
        <v>44496898</v>
      </c>
    </row>
    <row r="28" spans="2:9" x14ac:dyDescent="0.25">
      <c r="B28" s="60" t="s">
        <v>66</v>
      </c>
      <c r="C28" s="59">
        <v>24</v>
      </c>
      <c r="D28" s="59">
        <v>24</v>
      </c>
      <c r="E28" s="59" t="s">
        <v>111</v>
      </c>
      <c r="F28" s="59" t="s">
        <v>65</v>
      </c>
      <c r="G28" s="59" t="s">
        <v>64</v>
      </c>
      <c r="H28" s="58">
        <v>53136000</v>
      </c>
      <c r="I28" s="58">
        <v>682992000</v>
      </c>
    </row>
    <row r="29" spans="2:9" hidden="1" x14ac:dyDescent="0.25">
      <c r="B29" s="67" t="s">
        <v>70</v>
      </c>
      <c r="C29" s="66">
        <v>24</v>
      </c>
      <c r="D29" s="66">
        <v>2403113</v>
      </c>
      <c r="E29" s="66" t="s">
        <v>111</v>
      </c>
      <c r="F29" s="66" t="s">
        <v>65</v>
      </c>
      <c r="G29" s="65" t="s">
        <v>67</v>
      </c>
      <c r="H29" s="74"/>
      <c r="I29" s="74"/>
    </row>
    <row r="30" spans="2:9" hidden="1" x14ac:dyDescent="0.25">
      <c r="B30" s="67" t="s">
        <v>70</v>
      </c>
      <c r="C30" s="66">
        <v>24</v>
      </c>
      <c r="D30" s="66">
        <v>2403113</v>
      </c>
      <c r="E30" s="66" t="s">
        <v>111</v>
      </c>
      <c r="F30" s="66" t="s">
        <v>65</v>
      </c>
      <c r="G30" s="65" t="s">
        <v>157</v>
      </c>
      <c r="H30" s="62"/>
      <c r="I30" s="62"/>
    </row>
    <row r="31" spans="2:9" ht="22.5" hidden="1" x14ac:dyDescent="0.25">
      <c r="B31" s="67" t="s">
        <v>70</v>
      </c>
      <c r="C31" s="66">
        <v>24</v>
      </c>
      <c r="D31" s="66">
        <v>2403113</v>
      </c>
      <c r="E31" s="66" t="s">
        <v>111</v>
      </c>
      <c r="F31" s="66" t="s">
        <v>65</v>
      </c>
      <c r="G31" s="65" t="s">
        <v>156</v>
      </c>
      <c r="H31" s="62">
        <v>7776000</v>
      </c>
      <c r="I31" s="62"/>
    </row>
    <row r="32" spans="2:9" ht="22.5" hidden="1" x14ac:dyDescent="0.25">
      <c r="B32" s="67" t="s">
        <v>70</v>
      </c>
      <c r="C32" s="66">
        <v>24</v>
      </c>
      <c r="D32" s="66">
        <v>2403113</v>
      </c>
      <c r="E32" s="66" t="s">
        <v>111</v>
      </c>
      <c r="F32" s="66" t="s">
        <v>65</v>
      </c>
      <c r="G32" s="65" t="s">
        <v>155</v>
      </c>
      <c r="H32" s="62">
        <v>10368000</v>
      </c>
      <c r="I32" s="62"/>
    </row>
    <row r="33" spans="2:9" ht="22.5" hidden="1" x14ac:dyDescent="0.25">
      <c r="B33" s="67" t="s">
        <v>70</v>
      </c>
      <c r="C33" s="66">
        <v>24</v>
      </c>
      <c r="D33" s="66">
        <v>2403113</v>
      </c>
      <c r="E33" s="66" t="s">
        <v>111</v>
      </c>
      <c r="F33" s="66" t="s">
        <v>65</v>
      </c>
      <c r="G33" s="65" t="s">
        <v>154</v>
      </c>
      <c r="H33" s="62">
        <v>7776000</v>
      </c>
      <c r="I33" s="62"/>
    </row>
    <row r="34" spans="2:9" ht="22.5" x14ac:dyDescent="0.25">
      <c r="B34" s="67" t="s">
        <v>70</v>
      </c>
      <c r="C34" s="66">
        <v>24</v>
      </c>
      <c r="D34" s="66">
        <v>2403113</v>
      </c>
      <c r="E34" s="66" t="s">
        <v>111</v>
      </c>
      <c r="F34" s="66" t="s">
        <v>65</v>
      </c>
      <c r="G34" s="65" t="s">
        <v>153</v>
      </c>
      <c r="H34" s="74"/>
      <c r="I34" s="62">
        <v>9072000</v>
      </c>
    </row>
    <row r="35" spans="2:9" ht="22.5" x14ac:dyDescent="0.25">
      <c r="B35" s="67" t="s">
        <v>70</v>
      </c>
      <c r="C35" s="66">
        <v>24</v>
      </c>
      <c r="D35" s="66">
        <v>2403113</v>
      </c>
      <c r="E35" s="66" t="s">
        <v>111</v>
      </c>
      <c r="F35" s="66" t="s">
        <v>65</v>
      </c>
      <c r="G35" s="65" t="s">
        <v>152</v>
      </c>
      <c r="H35" s="74"/>
      <c r="I35" s="62">
        <v>6480000</v>
      </c>
    </row>
    <row r="36" spans="2:9" ht="22.5" hidden="1" x14ac:dyDescent="0.25">
      <c r="B36" s="67" t="s">
        <v>70</v>
      </c>
      <c r="C36" s="66">
        <v>24</v>
      </c>
      <c r="D36" s="66">
        <v>2403113</v>
      </c>
      <c r="E36" s="66" t="s">
        <v>111</v>
      </c>
      <c r="F36" s="66" t="s">
        <v>65</v>
      </c>
      <c r="G36" s="65" t="s">
        <v>151</v>
      </c>
      <c r="H36" s="62">
        <v>9072000</v>
      </c>
      <c r="I36" s="62"/>
    </row>
    <row r="37" spans="2:9" ht="22.5" hidden="1" x14ac:dyDescent="0.25">
      <c r="B37" s="67" t="s">
        <v>70</v>
      </c>
      <c r="C37" s="66">
        <v>24</v>
      </c>
      <c r="D37" s="66">
        <v>2403113</v>
      </c>
      <c r="E37" s="66" t="s">
        <v>111</v>
      </c>
      <c r="F37" s="66" t="s">
        <v>65</v>
      </c>
      <c r="G37" s="65" t="s">
        <v>150</v>
      </c>
      <c r="H37" s="62">
        <v>3888000</v>
      </c>
      <c r="I37" s="62"/>
    </row>
    <row r="38" spans="2:9" ht="22.5" x14ac:dyDescent="0.25">
      <c r="B38" s="67" t="s">
        <v>70</v>
      </c>
      <c r="C38" s="66">
        <v>24</v>
      </c>
      <c r="D38" s="66">
        <v>2403113</v>
      </c>
      <c r="E38" s="66" t="s">
        <v>111</v>
      </c>
      <c r="F38" s="66" t="s">
        <v>65</v>
      </c>
      <c r="G38" s="65" t="s">
        <v>149</v>
      </c>
      <c r="H38" s="74"/>
      <c r="I38" s="68">
        <v>9072000</v>
      </c>
    </row>
    <row r="39" spans="2:9" ht="22.5" x14ac:dyDescent="0.25">
      <c r="B39" s="67" t="s">
        <v>70</v>
      </c>
      <c r="C39" s="66">
        <v>24</v>
      </c>
      <c r="D39" s="66">
        <v>2403113</v>
      </c>
      <c r="E39" s="66" t="s">
        <v>111</v>
      </c>
      <c r="F39" s="66" t="s">
        <v>65</v>
      </c>
      <c r="G39" s="65" t="s">
        <v>148</v>
      </c>
      <c r="H39" s="74"/>
      <c r="I39" s="62">
        <v>7776000</v>
      </c>
    </row>
    <row r="40" spans="2:9" ht="22.5" hidden="1" x14ac:dyDescent="0.25">
      <c r="B40" s="67" t="s">
        <v>70</v>
      </c>
      <c r="C40" s="66">
        <v>24</v>
      </c>
      <c r="D40" s="66">
        <v>2403113</v>
      </c>
      <c r="E40" s="66" t="s">
        <v>111</v>
      </c>
      <c r="F40" s="66" t="s">
        <v>65</v>
      </c>
      <c r="G40" s="65" t="s">
        <v>147</v>
      </c>
      <c r="H40" s="62">
        <v>7776000</v>
      </c>
      <c r="I40" s="62"/>
    </row>
    <row r="41" spans="2:9" ht="22.5" hidden="1" x14ac:dyDescent="0.25">
      <c r="B41" s="67" t="s">
        <v>70</v>
      </c>
      <c r="C41" s="66">
        <v>24</v>
      </c>
      <c r="D41" s="66">
        <v>2403113</v>
      </c>
      <c r="E41" s="66" t="s">
        <v>111</v>
      </c>
      <c r="F41" s="66" t="s">
        <v>65</v>
      </c>
      <c r="G41" s="65" t="s">
        <v>146</v>
      </c>
      <c r="H41" s="62">
        <v>6480000</v>
      </c>
      <c r="I41" s="62"/>
    </row>
    <row r="42" spans="2:9" ht="22.5" x14ac:dyDescent="0.25">
      <c r="B42" s="67" t="s">
        <v>70</v>
      </c>
      <c r="C42" s="66">
        <v>24</v>
      </c>
      <c r="D42" s="66">
        <v>2403113</v>
      </c>
      <c r="E42" s="66" t="s">
        <v>111</v>
      </c>
      <c r="F42" s="66" t="s">
        <v>65</v>
      </c>
      <c r="G42" s="65" t="s">
        <v>145</v>
      </c>
      <c r="H42" s="53"/>
      <c r="I42" s="62">
        <v>2592000</v>
      </c>
    </row>
    <row r="43" spans="2:9" ht="22.5" hidden="1" x14ac:dyDescent="0.25">
      <c r="B43" s="67" t="s">
        <v>70</v>
      </c>
      <c r="C43" s="66">
        <v>24</v>
      </c>
      <c r="D43" s="66">
        <v>2403113</v>
      </c>
      <c r="E43" s="66" t="s">
        <v>111</v>
      </c>
      <c r="F43" s="66" t="s">
        <v>65</v>
      </c>
      <c r="G43" s="65" t="s">
        <v>144</v>
      </c>
      <c r="H43" s="81"/>
      <c r="I43" s="62"/>
    </row>
    <row r="44" spans="2:9" ht="22.5" hidden="1" x14ac:dyDescent="0.25">
      <c r="B44" s="67" t="s">
        <v>70</v>
      </c>
      <c r="C44" s="66">
        <v>24</v>
      </c>
      <c r="D44" s="66">
        <v>2403113</v>
      </c>
      <c r="E44" s="66" t="s">
        <v>111</v>
      </c>
      <c r="F44" s="66" t="s">
        <v>65</v>
      </c>
      <c r="G44" s="65" t="s">
        <v>143</v>
      </c>
      <c r="H44" s="81"/>
      <c r="I44" s="62"/>
    </row>
    <row r="45" spans="2:9" ht="22.5" hidden="1" x14ac:dyDescent="0.25">
      <c r="B45" s="67" t="s">
        <v>70</v>
      </c>
      <c r="C45" s="66">
        <v>24</v>
      </c>
      <c r="D45" s="66">
        <v>2403113</v>
      </c>
      <c r="E45" s="66" t="s">
        <v>111</v>
      </c>
      <c r="F45" s="66" t="s">
        <v>65</v>
      </c>
      <c r="G45" s="65" t="s">
        <v>142</v>
      </c>
      <c r="H45" s="81"/>
      <c r="I45" s="62"/>
    </row>
    <row r="46" spans="2:9" ht="22.5" x14ac:dyDescent="0.25">
      <c r="B46" s="67" t="s">
        <v>70</v>
      </c>
      <c r="C46" s="66">
        <v>24</v>
      </c>
      <c r="D46" s="66">
        <v>2403113</v>
      </c>
      <c r="E46" s="66" t="s">
        <v>111</v>
      </c>
      <c r="F46" s="66" t="s">
        <v>65</v>
      </c>
      <c r="G46" s="65" t="s">
        <v>141</v>
      </c>
      <c r="H46" s="81"/>
      <c r="I46" s="62">
        <v>81000000</v>
      </c>
    </row>
    <row r="47" spans="2:9" ht="22.5" hidden="1" x14ac:dyDescent="0.25">
      <c r="B47" s="67" t="s">
        <v>70</v>
      </c>
      <c r="C47" s="66">
        <v>24</v>
      </c>
      <c r="D47" s="66">
        <v>2403113</v>
      </c>
      <c r="E47" s="66" t="s">
        <v>111</v>
      </c>
      <c r="F47" s="66" t="s">
        <v>65</v>
      </c>
      <c r="G47" s="65" t="s">
        <v>140</v>
      </c>
      <c r="H47" s="81"/>
      <c r="I47" s="62"/>
    </row>
    <row r="48" spans="2:9" ht="22.5" hidden="1" x14ac:dyDescent="0.25">
      <c r="B48" s="67" t="s">
        <v>70</v>
      </c>
      <c r="C48" s="66">
        <v>24</v>
      </c>
      <c r="D48" s="66">
        <v>2403113</v>
      </c>
      <c r="E48" s="66" t="s">
        <v>111</v>
      </c>
      <c r="F48" s="66" t="s">
        <v>65</v>
      </c>
      <c r="G48" s="65" t="s">
        <v>139</v>
      </c>
      <c r="H48" s="81"/>
      <c r="I48" s="62"/>
    </row>
    <row r="49" spans="2:9" ht="22.5" x14ac:dyDescent="0.25">
      <c r="B49" s="67" t="s">
        <v>70</v>
      </c>
      <c r="C49" s="66">
        <v>24</v>
      </c>
      <c r="D49" s="66">
        <v>2403113</v>
      </c>
      <c r="E49" s="66" t="s">
        <v>111</v>
      </c>
      <c r="F49" s="66" t="s">
        <v>65</v>
      </c>
      <c r="G49" s="65" t="s">
        <v>138</v>
      </c>
      <c r="H49" s="62"/>
      <c r="I49" s="62">
        <v>81000000</v>
      </c>
    </row>
    <row r="50" spans="2:9" ht="22.5" hidden="1" x14ac:dyDescent="0.25">
      <c r="B50" s="67" t="s">
        <v>70</v>
      </c>
      <c r="C50" s="66">
        <v>24</v>
      </c>
      <c r="D50" s="66">
        <v>2403113</v>
      </c>
      <c r="E50" s="66" t="s">
        <v>111</v>
      </c>
      <c r="F50" s="66" t="s">
        <v>65</v>
      </c>
      <c r="G50" s="65" t="s">
        <v>137</v>
      </c>
      <c r="H50" s="81"/>
      <c r="I50" s="62"/>
    </row>
    <row r="51" spans="2:9" ht="22.5" hidden="1" x14ac:dyDescent="0.25">
      <c r="B51" s="67" t="s">
        <v>70</v>
      </c>
      <c r="C51" s="66">
        <v>24</v>
      </c>
      <c r="D51" s="66">
        <v>2403113</v>
      </c>
      <c r="E51" s="66" t="s">
        <v>111</v>
      </c>
      <c r="F51" s="66" t="s">
        <v>65</v>
      </c>
      <c r="G51" s="65" t="s">
        <v>136</v>
      </c>
      <c r="H51" s="81"/>
      <c r="I51" s="62"/>
    </row>
    <row r="52" spans="2:9" ht="22.5" hidden="1" x14ac:dyDescent="0.25">
      <c r="B52" s="67" t="s">
        <v>70</v>
      </c>
      <c r="C52" s="66">
        <v>24</v>
      </c>
      <c r="D52" s="66">
        <v>2403113</v>
      </c>
      <c r="E52" s="66" t="s">
        <v>111</v>
      </c>
      <c r="F52" s="66" t="s">
        <v>65</v>
      </c>
      <c r="G52" s="65" t="s">
        <v>135</v>
      </c>
      <c r="H52" s="81"/>
      <c r="I52" s="62"/>
    </row>
    <row r="53" spans="2:9" ht="22.5" x14ac:dyDescent="0.25">
      <c r="B53" s="67" t="s">
        <v>70</v>
      </c>
      <c r="C53" s="66">
        <v>24</v>
      </c>
      <c r="D53" s="66">
        <v>2403113</v>
      </c>
      <c r="E53" s="66" t="s">
        <v>111</v>
      </c>
      <c r="F53" s="66" t="s">
        <v>65</v>
      </c>
      <c r="G53" s="65" t="s">
        <v>134</v>
      </c>
      <c r="H53" s="81"/>
      <c r="I53" s="62">
        <v>81000000</v>
      </c>
    </row>
    <row r="54" spans="2:9" ht="22.5" hidden="1" x14ac:dyDescent="0.25">
      <c r="B54" s="67" t="s">
        <v>70</v>
      </c>
      <c r="C54" s="66">
        <v>24</v>
      </c>
      <c r="D54" s="66">
        <v>2403113</v>
      </c>
      <c r="E54" s="66" t="s">
        <v>111</v>
      </c>
      <c r="F54" s="66" t="s">
        <v>65</v>
      </c>
      <c r="G54" s="65" t="s">
        <v>133</v>
      </c>
      <c r="H54" s="81"/>
      <c r="I54" s="62"/>
    </row>
    <row r="55" spans="2:9" ht="22.5" hidden="1" x14ac:dyDescent="0.25">
      <c r="B55" s="67" t="s">
        <v>70</v>
      </c>
      <c r="C55" s="66">
        <v>24</v>
      </c>
      <c r="D55" s="66">
        <v>2403113</v>
      </c>
      <c r="E55" s="66" t="s">
        <v>111</v>
      </c>
      <c r="F55" s="66" t="s">
        <v>65</v>
      </c>
      <c r="G55" s="65" t="s">
        <v>132</v>
      </c>
      <c r="H55" s="81"/>
      <c r="I55" s="62"/>
    </row>
    <row r="56" spans="2:9" ht="22.5" hidden="1" x14ac:dyDescent="0.25">
      <c r="B56" s="67" t="s">
        <v>70</v>
      </c>
      <c r="C56" s="66">
        <v>24</v>
      </c>
      <c r="D56" s="66">
        <v>2403113</v>
      </c>
      <c r="E56" s="66" t="s">
        <v>111</v>
      </c>
      <c r="F56" s="66" t="s">
        <v>65</v>
      </c>
      <c r="G56" s="65" t="s">
        <v>131</v>
      </c>
      <c r="H56" s="81"/>
      <c r="I56" s="62"/>
    </row>
    <row r="57" spans="2:9" ht="22.5" hidden="1" x14ac:dyDescent="0.25">
      <c r="B57" s="67" t="s">
        <v>70</v>
      </c>
      <c r="C57" s="66">
        <v>24</v>
      </c>
      <c r="D57" s="66">
        <v>2403113</v>
      </c>
      <c r="E57" s="66" t="s">
        <v>111</v>
      </c>
      <c r="F57" s="66" t="s">
        <v>65</v>
      </c>
      <c r="G57" s="65" t="s">
        <v>130</v>
      </c>
      <c r="H57" s="81"/>
      <c r="I57" s="62"/>
    </row>
    <row r="58" spans="2:9" ht="22.5" hidden="1" x14ac:dyDescent="0.25">
      <c r="B58" s="67" t="s">
        <v>70</v>
      </c>
      <c r="C58" s="66">
        <v>24</v>
      </c>
      <c r="D58" s="66">
        <v>2403113</v>
      </c>
      <c r="E58" s="66" t="s">
        <v>111</v>
      </c>
      <c r="F58" s="66" t="s">
        <v>65</v>
      </c>
      <c r="G58" s="65" t="s">
        <v>129</v>
      </c>
      <c r="H58" s="81"/>
      <c r="I58" s="62"/>
    </row>
    <row r="59" spans="2:9" ht="22.5" hidden="1" x14ac:dyDescent="0.25">
      <c r="B59" s="67" t="s">
        <v>70</v>
      </c>
      <c r="C59" s="66">
        <v>24</v>
      </c>
      <c r="D59" s="66">
        <v>2403113</v>
      </c>
      <c r="E59" s="66" t="s">
        <v>111</v>
      </c>
      <c r="F59" s="66" t="s">
        <v>65</v>
      </c>
      <c r="G59" s="65" t="s">
        <v>128</v>
      </c>
      <c r="H59" s="81"/>
      <c r="I59" s="62"/>
    </row>
    <row r="60" spans="2:9" ht="22.5" x14ac:dyDescent="0.25">
      <c r="B60" s="67" t="s">
        <v>70</v>
      </c>
      <c r="C60" s="66">
        <v>24</v>
      </c>
      <c r="D60" s="66">
        <v>2403113</v>
      </c>
      <c r="E60" s="66" t="s">
        <v>111</v>
      </c>
      <c r="F60" s="66" t="s">
        <v>65</v>
      </c>
      <c r="G60" s="65" t="s">
        <v>127</v>
      </c>
      <c r="H60" s="62"/>
      <c r="I60" s="62">
        <v>81000000</v>
      </c>
    </row>
    <row r="61" spans="2:9" ht="22.5" hidden="1" x14ac:dyDescent="0.25">
      <c r="B61" s="67" t="s">
        <v>70</v>
      </c>
      <c r="C61" s="66">
        <v>24</v>
      </c>
      <c r="D61" s="66">
        <v>2403113</v>
      </c>
      <c r="E61" s="66" t="s">
        <v>111</v>
      </c>
      <c r="F61" s="66" t="s">
        <v>65</v>
      </c>
      <c r="G61" s="65" t="s">
        <v>126</v>
      </c>
      <c r="H61" s="81"/>
      <c r="I61" s="62"/>
    </row>
    <row r="62" spans="2:9" ht="22.5" hidden="1" x14ac:dyDescent="0.25">
      <c r="B62" s="67" t="s">
        <v>70</v>
      </c>
      <c r="C62" s="66">
        <v>24</v>
      </c>
      <c r="D62" s="66">
        <v>2403113</v>
      </c>
      <c r="E62" s="66" t="s">
        <v>111</v>
      </c>
      <c r="F62" s="66" t="s">
        <v>65</v>
      </c>
      <c r="G62" s="65" t="s">
        <v>125</v>
      </c>
      <c r="H62" s="81"/>
      <c r="I62" s="62"/>
    </row>
    <row r="63" spans="2:9" ht="22.5" hidden="1" x14ac:dyDescent="0.25">
      <c r="B63" s="67" t="s">
        <v>70</v>
      </c>
      <c r="C63" s="66">
        <v>24</v>
      </c>
      <c r="D63" s="66">
        <v>2403113</v>
      </c>
      <c r="E63" s="66" t="s">
        <v>111</v>
      </c>
      <c r="F63" s="66" t="s">
        <v>65</v>
      </c>
      <c r="G63" s="65" t="s">
        <v>124</v>
      </c>
      <c r="H63" s="62"/>
      <c r="I63" s="53"/>
    </row>
    <row r="64" spans="2:9" ht="22.5" x14ac:dyDescent="0.25">
      <c r="B64" s="67" t="s">
        <v>70</v>
      </c>
      <c r="C64" s="66">
        <v>24</v>
      </c>
      <c r="D64" s="66">
        <v>2403113</v>
      </c>
      <c r="E64" s="66" t="s">
        <v>111</v>
      </c>
      <c r="F64" s="66" t="s">
        <v>65</v>
      </c>
      <c r="G64" s="65" t="s">
        <v>123</v>
      </c>
      <c r="H64" s="62"/>
      <c r="I64" s="62">
        <v>81000000</v>
      </c>
    </row>
    <row r="65" spans="2:9" ht="22.5" x14ac:dyDescent="0.25">
      <c r="B65" s="67" t="s">
        <v>70</v>
      </c>
      <c r="C65" s="66">
        <v>24</v>
      </c>
      <c r="D65" s="66">
        <v>2403113</v>
      </c>
      <c r="E65" s="66" t="s">
        <v>111</v>
      </c>
      <c r="F65" s="66" t="s">
        <v>65</v>
      </c>
      <c r="G65" s="65" t="s">
        <v>122</v>
      </c>
      <c r="H65" s="62"/>
      <c r="I65" s="68">
        <v>81000000</v>
      </c>
    </row>
    <row r="66" spans="2:9" ht="22.5" x14ac:dyDescent="0.25">
      <c r="B66" s="67" t="s">
        <v>70</v>
      </c>
      <c r="C66" s="66">
        <v>24</v>
      </c>
      <c r="D66" s="66">
        <v>2403113</v>
      </c>
      <c r="E66" s="66" t="s">
        <v>111</v>
      </c>
      <c r="F66" s="66" t="s">
        <v>65</v>
      </c>
      <c r="G66" s="65" t="s">
        <v>121</v>
      </c>
      <c r="H66" s="81"/>
      <c r="I66" s="68">
        <v>81000000</v>
      </c>
    </row>
    <row r="67" spans="2:9" ht="22.5" x14ac:dyDescent="0.25">
      <c r="B67" s="67" t="s">
        <v>70</v>
      </c>
      <c r="C67" s="66">
        <v>24</v>
      </c>
      <c r="D67" s="66">
        <v>2403113</v>
      </c>
      <c r="E67" s="66" t="s">
        <v>111</v>
      </c>
      <c r="F67" s="66" t="s">
        <v>65</v>
      </c>
      <c r="G67" s="65" t="s">
        <v>120</v>
      </c>
      <c r="H67" s="81"/>
      <c r="I67" s="68">
        <v>81000000</v>
      </c>
    </row>
    <row r="68" spans="2:9" ht="22.5" hidden="1" x14ac:dyDescent="0.25">
      <c r="B68" s="67" t="s">
        <v>70</v>
      </c>
      <c r="C68" s="66">
        <v>24</v>
      </c>
      <c r="D68" s="66">
        <v>2403113</v>
      </c>
      <c r="E68" s="66" t="s">
        <v>111</v>
      </c>
      <c r="F68" s="66" t="s">
        <v>65</v>
      </c>
      <c r="G68" s="65" t="s">
        <v>119</v>
      </c>
      <c r="H68" s="81"/>
      <c r="I68" s="62"/>
    </row>
    <row r="69" spans="2:9" ht="22.5" hidden="1" x14ac:dyDescent="0.25">
      <c r="B69" s="67" t="s">
        <v>70</v>
      </c>
      <c r="C69" s="66">
        <v>24</v>
      </c>
      <c r="D69" s="66">
        <v>2403113</v>
      </c>
      <c r="E69" s="66" t="s">
        <v>111</v>
      </c>
      <c r="F69" s="66" t="s">
        <v>65</v>
      </c>
      <c r="G69" s="65" t="s">
        <v>118</v>
      </c>
      <c r="H69" s="81"/>
      <c r="I69" s="62"/>
    </row>
    <row r="70" spans="2:9" ht="22.5" hidden="1" x14ac:dyDescent="0.25">
      <c r="B70" s="67" t="s">
        <v>70</v>
      </c>
      <c r="C70" s="66">
        <v>24</v>
      </c>
      <c r="D70" s="66">
        <v>2403113</v>
      </c>
      <c r="E70" s="66" t="s">
        <v>111</v>
      </c>
      <c r="F70" s="66" t="s">
        <v>65</v>
      </c>
      <c r="G70" s="65" t="s">
        <v>117</v>
      </c>
      <c r="H70" s="62"/>
      <c r="I70" s="53"/>
    </row>
    <row r="71" spans="2:9" ht="22.5" hidden="1" x14ac:dyDescent="0.25">
      <c r="B71" s="67" t="s">
        <v>70</v>
      </c>
      <c r="C71" s="66">
        <v>24</v>
      </c>
      <c r="D71" s="66">
        <v>2403113</v>
      </c>
      <c r="E71" s="66" t="s">
        <v>111</v>
      </c>
      <c r="F71" s="66" t="s">
        <v>65</v>
      </c>
      <c r="G71" s="65" t="s">
        <v>116</v>
      </c>
      <c r="H71" s="81"/>
      <c r="I71" s="62"/>
    </row>
    <row r="72" spans="2:9" ht="22.5" hidden="1" x14ac:dyDescent="0.25">
      <c r="B72" s="67" t="s">
        <v>70</v>
      </c>
      <c r="C72" s="66">
        <v>24</v>
      </c>
      <c r="D72" s="66">
        <v>2403113</v>
      </c>
      <c r="E72" s="66" t="s">
        <v>111</v>
      </c>
      <c r="F72" s="66" t="s">
        <v>65</v>
      </c>
      <c r="G72" s="65" t="s">
        <v>115</v>
      </c>
      <c r="H72" s="81"/>
      <c r="I72" s="62"/>
    </row>
    <row r="73" spans="2:9" ht="22.5" hidden="1" x14ac:dyDescent="0.25">
      <c r="B73" s="67" t="s">
        <v>70</v>
      </c>
      <c r="C73" s="66">
        <v>24</v>
      </c>
      <c r="D73" s="66">
        <v>2403113</v>
      </c>
      <c r="E73" s="66" t="s">
        <v>111</v>
      </c>
      <c r="F73" s="66" t="s">
        <v>65</v>
      </c>
      <c r="G73" s="65" t="s">
        <v>114</v>
      </c>
      <c r="H73" s="81"/>
      <c r="I73" s="62"/>
    </row>
    <row r="74" spans="2:9" ht="22.5" hidden="1" x14ac:dyDescent="0.25">
      <c r="B74" s="67" t="s">
        <v>70</v>
      </c>
      <c r="C74" s="66">
        <v>24</v>
      </c>
      <c r="D74" s="66">
        <v>2403113</v>
      </c>
      <c r="E74" s="66" t="s">
        <v>111</v>
      </c>
      <c r="F74" s="66" t="s">
        <v>65</v>
      </c>
      <c r="G74" s="65" t="s">
        <v>113</v>
      </c>
      <c r="H74" s="74"/>
      <c r="I74" s="62"/>
    </row>
    <row r="75" spans="2:9" ht="22.5" hidden="1" x14ac:dyDescent="0.25">
      <c r="B75" s="67" t="s">
        <v>70</v>
      </c>
      <c r="C75" s="66">
        <v>24</v>
      </c>
      <c r="D75" s="66">
        <v>2403113</v>
      </c>
      <c r="E75" s="66" t="s">
        <v>111</v>
      </c>
      <c r="F75" s="66" t="s">
        <v>65</v>
      </c>
      <c r="G75" s="65" t="s">
        <v>112</v>
      </c>
      <c r="H75" s="74"/>
      <c r="I75" s="62"/>
    </row>
    <row r="76" spans="2:9" ht="22.5" hidden="1" x14ac:dyDescent="0.25">
      <c r="B76" s="67" t="s">
        <v>70</v>
      </c>
      <c r="C76" s="66">
        <v>24</v>
      </c>
      <c r="D76" s="66">
        <v>2403113</v>
      </c>
      <c r="E76" s="66" t="s">
        <v>111</v>
      </c>
      <c r="F76" s="66" t="s">
        <v>65</v>
      </c>
      <c r="G76" s="65" t="s">
        <v>110</v>
      </c>
      <c r="H76" s="81"/>
      <c r="I76" s="62"/>
    </row>
  </sheetData>
  <autoFilter ref="B2:I76" xr:uid="{00000000-0009-0000-0000-000003000000}">
    <filterColumn colId="7">
      <filters>
        <filter val="100.000.000"/>
        <filter val="120.000.000"/>
        <filter val="125.000.000"/>
        <filter val="2.592.000"/>
        <filter val="40.000.000"/>
        <filter val="44.496.898"/>
        <filter val="6.480.000"/>
        <filter val="682.992.000"/>
        <filter val="7.776.000"/>
        <filter val="700.000.000"/>
        <filter val="800.000.000"/>
        <filter val="81.000.000"/>
        <filter val="9.072.000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FC4E-7E6C-4738-80E2-22D7340F7F74}">
  <dimension ref="B1:Q41"/>
  <sheetViews>
    <sheetView topLeftCell="A5" workbookViewId="0">
      <selection activeCell="J34" sqref="J34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  <col min="17" max="17" width="13.42578125" bestFit="1" customWidth="1"/>
  </cols>
  <sheetData>
    <row r="1" spans="2:16" s="2" customFormat="1" ht="21" x14ac:dyDescent="0.35">
      <c r="C1" s="3" t="s">
        <v>37</v>
      </c>
    </row>
    <row r="2" spans="2:16" ht="29.25" customHeight="1" x14ac:dyDescent="0.25">
      <c r="C2" s="4" t="s">
        <v>458</v>
      </c>
    </row>
    <row r="3" spans="2:16" x14ac:dyDescent="0.25">
      <c r="C3" s="5"/>
    </row>
    <row r="4" spans="2:16" ht="15.75" x14ac:dyDescent="0.25">
      <c r="B4" s="1"/>
      <c r="C4" s="145" t="s">
        <v>38</v>
      </c>
      <c r="D4" s="146"/>
      <c r="E4" s="146"/>
      <c r="F4" s="146"/>
      <c r="G4" s="146"/>
      <c r="H4" s="146"/>
      <c r="I4" s="146"/>
      <c r="J4" s="146"/>
      <c r="K4" s="146"/>
      <c r="L4" s="147"/>
    </row>
    <row r="5" spans="2:16" x14ac:dyDescent="0.25">
      <c r="C5" s="148" t="s">
        <v>39</v>
      </c>
      <c r="D5" s="148"/>
      <c r="E5" s="148" t="s">
        <v>40</v>
      </c>
      <c r="F5" s="148"/>
      <c r="G5" s="148" t="s">
        <v>41</v>
      </c>
      <c r="H5" s="148"/>
      <c r="I5" s="148" t="s">
        <v>42</v>
      </c>
      <c r="J5" s="148"/>
      <c r="K5" s="148" t="s">
        <v>43</v>
      </c>
      <c r="L5" s="148"/>
    </row>
    <row r="6" spans="2:16" x14ac:dyDescent="0.25">
      <c r="C6" s="6" t="s">
        <v>44</v>
      </c>
      <c r="D6" s="7" t="s">
        <v>45</v>
      </c>
      <c r="E6" s="6" t="s">
        <v>44</v>
      </c>
      <c r="F6" s="6" t="s">
        <v>45</v>
      </c>
      <c r="G6" s="6" t="s">
        <v>44</v>
      </c>
      <c r="H6" s="6" t="s">
        <v>45</v>
      </c>
      <c r="I6" s="6" t="s">
        <v>44</v>
      </c>
      <c r="J6" s="6" t="s">
        <v>45</v>
      </c>
      <c r="K6" s="6" t="s">
        <v>44</v>
      </c>
      <c r="L6" s="6" t="s">
        <v>45</v>
      </c>
      <c r="O6" s="25"/>
      <c r="P6" s="25"/>
    </row>
    <row r="7" spans="2:16" ht="15.75" x14ac:dyDescent="0.25">
      <c r="C7" s="8">
        <v>1</v>
      </c>
      <c r="D7" s="9" t="e">
        <f>+#REF!</f>
        <v>#REF!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6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>
        <v>0</v>
      </c>
      <c r="K8" s="15">
        <v>30</v>
      </c>
      <c r="L8" s="16"/>
      <c r="N8" s="17"/>
      <c r="O8" s="18"/>
    </row>
    <row r="9" spans="2:16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6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6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6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6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6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6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6" ht="15.75" thickBot="1" x14ac:dyDescent="0.3">
      <c r="D16" s="25"/>
      <c r="E16" s="25"/>
      <c r="F16" s="25"/>
      <c r="G16" s="25"/>
      <c r="H16" s="25"/>
      <c r="I16" s="25"/>
      <c r="J16" s="25">
        <f t="shared" ref="J16:L16" si="0">SUM(J7:J15)</f>
        <v>0</v>
      </c>
      <c r="K16" s="25"/>
      <c r="L16" s="25">
        <f t="shared" si="0"/>
        <v>0</v>
      </c>
    </row>
    <row r="17" spans="3:17" ht="15.75" thickBot="1" x14ac:dyDescent="0.3">
      <c r="D17" s="25"/>
      <c r="E17" s="25"/>
      <c r="F17" s="25"/>
      <c r="G17" s="25"/>
      <c r="H17" s="149" t="s">
        <v>46</v>
      </c>
      <c r="I17" s="150"/>
      <c r="J17" s="27" t="e">
        <f>+D7</f>
        <v>#REF!</v>
      </c>
      <c r="L17" s="28"/>
      <c r="Q17" s="25"/>
    </row>
    <row r="19" spans="3:17" x14ac:dyDescent="0.25">
      <c r="C19" s="145" t="s">
        <v>47</v>
      </c>
      <c r="D19" s="146"/>
      <c r="E19" s="146"/>
      <c r="F19" s="146"/>
      <c r="G19" s="146"/>
      <c r="H19" s="146"/>
      <c r="I19" s="146"/>
      <c r="J19" s="146"/>
      <c r="K19" s="146"/>
      <c r="L19" s="147"/>
    </row>
    <row r="20" spans="3:17" x14ac:dyDescent="0.25">
      <c r="C20" s="148" t="s">
        <v>39</v>
      </c>
      <c r="D20" s="148"/>
      <c r="E20" s="148" t="s">
        <v>40</v>
      </c>
      <c r="F20" s="148"/>
      <c r="G20" s="148" t="s">
        <v>41</v>
      </c>
      <c r="H20" s="148"/>
      <c r="I20" s="148" t="s">
        <v>42</v>
      </c>
      <c r="J20" s="148"/>
      <c r="K20" s="148" t="s">
        <v>43</v>
      </c>
      <c r="L20" s="148"/>
    </row>
    <row r="21" spans="3:17" x14ac:dyDescent="0.25">
      <c r="C21" s="6" t="s">
        <v>44</v>
      </c>
      <c r="D21" s="7" t="s">
        <v>45</v>
      </c>
      <c r="E21" s="6" t="s">
        <v>44</v>
      </c>
      <c r="F21" s="6" t="s">
        <v>45</v>
      </c>
      <c r="G21" s="6" t="s">
        <v>44</v>
      </c>
      <c r="H21" s="6" t="s">
        <v>45</v>
      </c>
      <c r="I21" s="6" t="s">
        <v>44</v>
      </c>
      <c r="J21" s="6" t="s">
        <v>45</v>
      </c>
      <c r="K21" s="6" t="s">
        <v>44</v>
      </c>
      <c r="L21" s="6" t="s">
        <v>45</v>
      </c>
    </row>
    <row r="22" spans="3:17" ht="15.75" x14ac:dyDescent="0.25">
      <c r="C22" s="8">
        <v>1</v>
      </c>
      <c r="D22" s="9"/>
      <c r="E22" s="10">
        <v>8</v>
      </c>
      <c r="F22" s="9"/>
      <c r="G22" s="11">
        <v>15</v>
      </c>
      <c r="H22" s="25" t="e">
        <f>+#REF!</f>
        <v>#REF!</v>
      </c>
      <c r="I22" s="11">
        <v>22</v>
      </c>
      <c r="J22" s="9"/>
      <c r="K22" s="11">
        <v>29</v>
      </c>
      <c r="L22" s="13"/>
    </row>
    <row r="23" spans="3:17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7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6"/>
      <c r="K24" s="15">
        <v>31</v>
      </c>
      <c r="L24" s="16"/>
      <c r="O24" s="18"/>
    </row>
    <row r="25" spans="3:17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6"/>
      <c r="K25" s="15"/>
      <c r="L25" s="16"/>
      <c r="O25" s="18"/>
    </row>
    <row r="26" spans="3:17" x14ac:dyDescent="0.25">
      <c r="C26" s="14">
        <v>5</v>
      </c>
      <c r="D26" s="30"/>
      <c r="E26" s="15">
        <v>12</v>
      </c>
      <c r="F26" s="12"/>
      <c r="G26" s="15">
        <v>19</v>
      </c>
      <c r="H26" s="12"/>
      <c r="I26" s="15">
        <v>26</v>
      </c>
      <c r="J26" s="16"/>
      <c r="K26" s="15"/>
      <c r="L26" s="16"/>
      <c r="O26" s="18"/>
    </row>
    <row r="27" spans="3:17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6"/>
      <c r="K27" s="15"/>
      <c r="L27" s="16"/>
    </row>
    <row r="28" spans="3:17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6"/>
      <c r="K28" s="15"/>
      <c r="L28" s="16"/>
    </row>
    <row r="29" spans="3:17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7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7" ht="15.75" thickBot="1" x14ac:dyDescent="0.3">
      <c r="D31" s="31"/>
      <c r="E31" s="31"/>
      <c r="F31" s="31"/>
      <c r="G31" s="31"/>
      <c r="H31" s="31"/>
      <c r="I31" s="31"/>
      <c r="J31" s="31"/>
      <c r="O31" s="25"/>
    </row>
    <row r="32" spans="3:17" ht="15.75" thickBot="1" x14ac:dyDescent="0.3">
      <c r="H32" s="149" t="s">
        <v>48</v>
      </c>
      <c r="I32" s="150"/>
      <c r="J32" s="27" t="e">
        <f>+H22</f>
        <v>#REF!</v>
      </c>
      <c r="L32" s="32"/>
      <c r="N32" s="33"/>
    </row>
    <row r="33" spans="2:12" ht="15.75" thickBot="1" x14ac:dyDescent="0.3">
      <c r="H33" s="151"/>
      <c r="I33" s="152"/>
    </row>
    <row r="34" spans="2:12" ht="15.75" thickBot="1" x14ac:dyDescent="0.3">
      <c r="H34" s="149" t="s">
        <v>49</v>
      </c>
      <c r="I34" s="150"/>
      <c r="J34" s="27" t="e">
        <f>+J32+J17</f>
        <v>#REF!</v>
      </c>
      <c r="K34" s="34"/>
      <c r="L34" s="25"/>
    </row>
    <row r="35" spans="2:12" x14ac:dyDescent="0.25">
      <c r="B35" s="35" t="s">
        <v>50</v>
      </c>
    </row>
    <row r="36" spans="2:12" x14ac:dyDescent="0.25">
      <c r="B36" s="36"/>
      <c r="C36" s="153"/>
      <c r="D36" s="153"/>
      <c r="E36" s="153"/>
      <c r="F36" s="153"/>
      <c r="G36" s="153"/>
      <c r="H36" s="153"/>
      <c r="I36" s="153"/>
      <c r="J36" s="153"/>
      <c r="K36" s="153"/>
      <c r="L36" s="154"/>
    </row>
    <row r="37" spans="2:12" x14ac:dyDescent="0.25">
      <c r="B37" s="37"/>
      <c r="C37" s="155"/>
      <c r="D37" s="155"/>
      <c r="E37" s="155"/>
      <c r="F37" s="155"/>
      <c r="G37" s="155"/>
      <c r="H37" s="155"/>
      <c r="I37" s="155"/>
      <c r="J37" s="155"/>
      <c r="K37" s="155"/>
      <c r="L37" s="156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  <mergeCell ref="C4:L4"/>
    <mergeCell ref="C5:D5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2655-1C05-4AD8-A43B-97CAB57E767D}">
  <sheetPr>
    <pageSetUpPr fitToPage="1"/>
  </sheetPr>
  <dimension ref="A2:U32"/>
  <sheetViews>
    <sheetView tabSelected="1" zoomScale="90" zoomScaleNormal="90" workbookViewId="0">
      <selection activeCell="H37" sqref="H37"/>
    </sheetView>
  </sheetViews>
  <sheetFormatPr baseColWidth="10" defaultRowHeight="15" outlineLevelCol="1" x14ac:dyDescent="0.25"/>
  <cols>
    <col min="1" max="3" width="4.42578125" style="124" customWidth="1"/>
    <col min="4" max="4" width="30.28515625" style="124" customWidth="1"/>
    <col min="5" max="5" width="17.42578125" style="124" bestFit="1" customWidth="1"/>
    <col min="6" max="6" width="17.42578125" style="124" hidden="1" customWidth="1"/>
    <col min="7" max="7" width="17.42578125" style="124" customWidth="1"/>
    <col min="8" max="11" width="14.85546875" style="124" customWidth="1"/>
    <col min="12" max="15" width="14.85546875" style="124" customWidth="1" outlineLevel="1"/>
    <col min="16" max="18" width="14.85546875" style="125" customWidth="1" outlineLevel="1"/>
    <col min="19" max="19" width="14.85546875" style="124" customWidth="1" outlineLevel="1"/>
    <col min="20" max="20" width="12" style="124" bestFit="1" customWidth="1"/>
    <col min="21" max="21" width="12" style="124" customWidth="1"/>
    <col min="22" max="22" width="12.140625" style="124" customWidth="1"/>
    <col min="23" max="208" width="11.42578125" style="124"/>
    <col min="209" max="209" width="3.85546875" style="124" customWidth="1"/>
    <col min="210" max="210" width="5.28515625" style="124" customWidth="1"/>
    <col min="211" max="211" width="4.7109375" style="124" customWidth="1"/>
    <col min="212" max="212" width="4.85546875" style="124" customWidth="1"/>
    <col min="213" max="213" width="52.42578125" style="124" bestFit="1" customWidth="1"/>
    <col min="214" max="214" width="13.140625" style="124" customWidth="1"/>
    <col min="215" max="215" width="15" style="124" customWidth="1"/>
    <col min="216" max="216" width="16" style="124" customWidth="1"/>
    <col min="217" max="217" width="11.85546875" style="124" bestFit="1" customWidth="1"/>
    <col min="218" max="218" width="12.140625" style="124" bestFit="1" customWidth="1"/>
    <col min="219" max="219" width="0" style="124" hidden="1" customWidth="1"/>
    <col min="220" max="220" width="13.28515625" style="124" customWidth="1"/>
    <col min="221" max="221" width="12.85546875" style="124" bestFit="1" customWidth="1"/>
    <col min="222" max="464" width="11.42578125" style="124"/>
    <col min="465" max="465" width="3.85546875" style="124" customWidth="1"/>
    <col min="466" max="466" width="5.28515625" style="124" customWidth="1"/>
    <col min="467" max="467" width="4.7109375" style="124" customWidth="1"/>
    <col min="468" max="468" width="4.85546875" style="124" customWidth="1"/>
    <col min="469" max="469" width="52.42578125" style="124" bestFit="1" customWidth="1"/>
    <col min="470" max="470" width="13.140625" style="124" customWidth="1"/>
    <col min="471" max="471" width="15" style="124" customWidth="1"/>
    <col min="472" max="472" width="16" style="124" customWidth="1"/>
    <col min="473" max="473" width="11.85546875" style="124" bestFit="1" customWidth="1"/>
    <col min="474" max="474" width="12.140625" style="124" bestFit="1" customWidth="1"/>
    <col min="475" max="475" width="0" style="124" hidden="1" customWidth="1"/>
    <col min="476" max="476" width="13.28515625" style="124" customWidth="1"/>
    <col min="477" max="477" width="12.85546875" style="124" bestFit="1" customWidth="1"/>
    <col min="478" max="720" width="11.42578125" style="124"/>
    <col min="721" max="721" width="3.85546875" style="124" customWidth="1"/>
    <col min="722" max="722" width="5.28515625" style="124" customWidth="1"/>
    <col min="723" max="723" width="4.7109375" style="124" customWidth="1"/>
    <col min="724" max="724" width="4.85546875" style="124" customWidth="1"/>
    <col min="725" max="725" width="52.42578125" style="124" bestFit="1" customWidth="1"/>
    <col min="726" max="726" width="13.140625" style="124" customWidth="1"/>
    <col min="727" max="727" width="15" style="124" customWidth="1"/>
    <col min="728" max="728" width="16" style="124" customWidth="1"/>
    <col min="729" max="729" width="11.85546875" style="124" bestFit="1" customWidth="1"/>
    <col min="730" max="730" width="12.140625" style="124" bestFit="1" customWidth="1"/>
    <col min="731" max="731" width="0" style="124" hidden="1" customWidth="1"/>
    <col min="732" max="732" width="13.28515625" style="124" customWidth="1"/>
    <col min="733" max="733" width="12.85546875" style="124" bestFit="1" customWidth="1"/>
    <col min="734" max="976" width="11.42578125" style="124"/>
    <col min="977" max="977" width="3.85546875" style="124" customWidth="1"/>
    <col min="978" max="978" width="5.28515625" style="124" customWidth="1"/>
    <col min="979" max="979" width="4.7109375" style="124" customWidth="1"/>
    <col min="980" max="980" width="4.85546875" style="124" customWidth="1"/>
    <col min="981" max="981" width="52.42578125" style="124" bestFit="1" customWidth="1"/>
    <col min="982" max="982" width="13.140625" style="124" customWidth="1"/>
    <col min="983" max="983" width="15" style="124" customWidth="1"/>
    <col min="984" max="984" width="16" style="124" customWidth="1"/>
    <col min="985" max="985" width="11.85546875" style="124" bestFit="1" customWidth="1"/>
    <col min="986" max="986" width="12.140625" style="124" bestFit="1" customWidth="1"/>
    <col min="987" max="987" width="0" style="124" hidden="1" customWidth="1"/>
    <col min="988" max="988" width="13.28515625" style="124" customWidth="1"/>
    <col min="989" max="989" width="12.85546875" style="124" bestFit="1" customWidth="1"/>
    <col min="990" max="1232" width="11.42578125" style="124"/>
    <col min="1233" max="1233" width="3.85546875" style="124" customWidth="1"/>
    <col min="1234" max="1234" width="5.28515625" style="124" customWidth="1"/>
    <col min="1235" max="1235" width="4.7109375" style="124" customWidth="1"/>
    <col min="1236" max="1236" width="4.85546875" style="124" customWidth="1"/>
    <col min="1237" max="1237" width="52.42578125" style="124" bestFit="1" customWidth="1"/>
    <col min="1238" max="1238" width="13.140625" style="124" customWidth="1"/>
    <col min="1239" max="1239" width="15" style="124" customWidth="1"/>
    <col min="1240" max="1240" width="16" style="124" customWidth="1"/>
    <col min="1241" max="1241" width="11.85546875" style="124" bestFit="1" customWidth="1"/>
    <col min="1242" max="1242" width="12.140625" style="124" bestFit="1" customWidth="1"/>
    <col min="1243" max="1243" width="0" style="124" hidden="1" customWidth="1"/>
    <col min="1244" max="1244" width="13.28515625" style="124" customWidth="1"/>
    <col min="1245" max="1245" width="12.85546875" style="124" bestFit="1" customWidth="1"/>
    <col min="1246" max="1488" width="11.42578125" style="124"/>
    <col min="1489" max="1489" width="3.85546875" style="124" customWidth="1"/>
    <col min="1490" max="1490" width="5.28515625" style="124" customWidth="1"/>
    <col min="1491" max="1491" width="4.7109375" style="124" customWidth="1"/>
    <col min="1492" max="1492" width="4.85546875" style="124" customWidth="1"/>
    <col min="1493" max="1493" width="52.42578125" style="124" bestFit="1" customWidth="1"/>
    <col min="1494" max="1494" width="13.140625" style="124" customWidth="1"/>
    <col min="1495" max="1495" width="15" style="124" customWidth="1"/>
    <col min="1496" max="1496" width="16" style="124" customWidth="1"/>
    <col min="1497" max="1497" width="11.85546875" style="124" bestFit="1" customWidth="1"/>
    <col min="1498" max="1498" width="12.140625" style="124" bestFit="1" customWidth="1"/>
    <col min="1499" max="1499" width="0" style="124" hidden="1" customWidth="1"/>
    <col min="1500" max="1500" width="13.28515625" style="124" customWidth="1"/>
    <col min="1501" max="1501" width="12.85546875" style="124" bestFit="1" customWidth="1"/>
    <col min="1502" max="1744" width="11.42578125" style="124"/>
    <col min="1745" max="1745" width="3.85546875" style="124" customWidth="1"/>
    <col min="1746" max="1746" width="5.28515625" style="124" customWidth="1"/>
    <col min="1747" max="1747" width="4.7109375" style="124" customWidth="1"/>
    <col min="1748" max="1748" width="4.85546875" style="124" customWidth="1"/>
    <col min="1749" max="1749" width="52.42578125" style="124" bestFit="1" customWidth="1"/>
    <col min="1750" max="1750" width="13.140625" style="124" customWidth="1"/>
    <col min="1751" max="1751" width="15" style="124" customWidth="1"/>
    <col min="1752" max="1752" width="16" style="124" customWidth="1"/>
    <col min="1753" max="1753" width="11.85546875" style="124" bestFit="1" customWidth="1"/>
    <col min="1754" max="1754" width="12.140625" style="124" bestFit="1" customWidth="1"/>
    <col min="1755" max="1755" width="0" style="124" hidden="1" customWidth="1"/>
    <col min="1756" max="1756" width="13.28515625" style="124" customWidth="1"/>
    <col min="1757" max="1757" width="12.85546875" style="124" bestFit="1" customWidth="1"/>
    <col min="1758" max="2000" width="11.42578125" style="124"/>
    <col min="2001" max="2001" width="3.85546875" style="124" customWidth="1"/>
    <col min="2002" max="2002" width="5.28515625" style="124" customWidth="1"/>
    <col min="2003" max="2003" width="4.7109375" style="124" customWidth="1"/>
    <col min="2004" max="2004" width="4.85546875" style="124" customWidth="1"/>
    <col min="2005" max="2005" width="52.42578125" style="124" bestFit="1" customWidth="1"/>
    <col min="2006" max="2006" width="13.140625" style="124" customWidth="1"/>
    <col min="2007" max="2007" width="15" style="124" customWidth="1"/>
    <col min="2008" max="2008" width="16" style="124" customWidth="1"/>
    <col min="2009" max="2009" width="11.85546875" style="124" bestFit="1" customWidth="1"/>
    <col min="2010" max="2010" width="12.140625" style="124" bestFit="1" customWidth="1"/>
    <col min="2011" max="2011" width="0" style="124" hidden="1" customWidth="1"/>
    <col min="2012" max="2012" width="13.28515625" style="124" customWidth="1"/>
    <col min="2013" max="2013" width="12.85546875" style="124" bestFit="1" customWidth="1"/>
    <col min="2014" max="2256" width="11.42578125" style="124"/>
    <col min="2257" max="2257" width="3.85546875" style="124" customWidth="1"/>
    <col min="2258" max="2258" width="5.28515625" style="124" customWidth="1"/>
    <col min="2259" max="2259" width="4.7109375" style="124" customWidth="1"/>
    <col min="2260" max="2260" width="4.85546875" style="124" customWidth="1"/>
    <col min="2261" max="2261" width="52.42578125" style="124" bestFit="1" customWidth="1"/>
    <col min="2262" max="2262" width="13.140625" style="124" customWidth="1"/>
    <col min="2263" max="2263" width="15" style="124" customWidth="1"/>
    <col min="2264" max="2264" width="16" style="124" customWidth="1"/>
    <col min="2265" max="2265" width="11.85546875" style="124" bestFit="1" customWidth="1"/>
    <col min="2266" max="2266" width="12.140625" style="124" bestFit="1" customWidth="1"/>
    <col min="2267" max="2267" width="0" style="124" hidden="1" customWidth="1"/>
    <col min="2268" max="2268" width="13.28515625" style="124" customWidth="1"/>
    <col min="2269" max="2269" width="12.85546875" style="124" bestFit="1" customWidth="1"/>
    <col min="2270" max="2512" width="11.42578125" style="124"/>
    <col min="2513" max="2513" width="3.85546875" style="124" customWidth="1"/>
    <col min="2514" max="2514" width="5.28515625" style="124" customWidth="1"/>
    <col min="2515" max="2515" width="4.7109375" style="124" customWidth="1"/>
    <col min="2516" max="2516" width="4.85546875" style="124" customWidth="1"/>
    <col min="2517" max="2517" width="52.42578125" style="124" bestFit="1" customWidth="1"/>
    <col min="2518" max="2518" width="13.140625" style="124" customWidth="1"/>
    <col min="2519" max="2519" width="15" style="124" customWidth="1"/>
    <col min="2520" max="2520" width="16" style="124" customWidth="1"/>
    <col min="2521" max="2521" width="11.85546875" style="124" bestFit="1" customWidth="1"/>
    <col min="2522" max="2522" width="12.140625" style="124" bestFit="1" customWidth="1"/>
    <col min="2523" max="2523" width="0" style="124" hidden="1" customWidth="1"/>
    <col min="2524" max="2524" width="13.28515625" style="124" customWidth="1"/>
    <col min="2525" max="2525" width="12.85546875" style="124" bestFit="1" customWidth="1"/>
    <col min="2526" max="2768" width="11.42578125" style="124"/>
    <col min="2769" max="2769" width="3.85546875" style="124" customWidth="1"/>
    <col min="2770" max="2770" width="5.28515625" style="124" customWidth="1"/>
    <col min="2771" max="2771" width="4.7109375" style="124" customWidth="1"/>
    <col min="2772" max="2772" width="4.85546875" style="124" customWidth="1"/>
    <col min="2773" max="2773" width="52.42578125" style="124" bestFit="1" customWidth="1"/>
    <col min="2774" max="2774" width="13.140625" style="124" customWidth="1"/>
    <col min="2775" max="2775" width="15" style="124" customWidth="1"/>
    <col min="2776" max="2776" width="16" style="124" customWidth="1"/>
    <col min="2777" max="2777" width="11.85546875" style="124" bestFit="1" customWidth="1"/>
    <col min="2778" max="2778" width="12.140625" style="124" bestFit="1" customWidth="1"/>
    <col min="2779" max="2779" width="0" style="124" hidden="1" customWidth="1"/>
    <col min="2780" max="2780" width="13.28515625" style="124" customWidth="1"/>
    <col min="2781" max="2781" width="12.85546875" style="124" bestFit="1" customWidth="1"/>
    <col min="2782" max="3024" width="11.42578125" style="124"/>
    <col min="3025" max="3025" width="3.85546875" style="124" customWidth="1"/>
    <col min="3026" max="3026" width="5.28515625" style="124" customWidth="1"/>
    <col min="3027" max="3027" width="4.7109375" style="124" customWidth="1"/>
    <col min="3028" max="3028" width="4.85546875" style="124" customWidth="1"/>
    <col min="3029" max="3029" width="52.42578125" style="124" bestFit="1" customWidth="1"/>
    <col min="3030" max="3030" width="13.140625" style="124" customWidth="1"/>
    <col min="3031" max="3031" width="15" style="124" customWidth="1"/>
    <col min="3032" max="3032" width="16" style="124" customWidth="1"/>
    <col min="3033" max="3033" width="11.85546875" style="124" bestFit="1" customWidth="1"/>
    <col min="3034" max="3034" width="12.140625" style="124" bestFit="1" customWidth="1"/>
    <col min="3035" max="3035" width="0" style="124" hidden="1" customWidth="1"/>
    <col min="3036" max="3036" width="13.28515625" style="124" customWidth="1"/>
    <col min="3037" max="3037" width="12.85546875" style="124" bestFit="1" customWidth="1"/>
    <col min="3038" max="3280" width="11.42578125" style="124"/>
    <col min="3281" max="3281" width="3.85546875" style="124" customWidth="1"/>
    <col min="3282" max="3282" width="5.28515625" style="124" customWidth="1"/>
    <col min="3283" max="3283" width="4.7109375" style="124" customWidth="1"/>
    <col min="3284" max="3284" width="4.85546875" style="124" customWidth="1"/>
    <col min="3285" max="3285" width="52.42578125" style="124" bestFit="1" customWidth="1"/>
    <col min="3286" max="3286" width="13.140625" style="124" customWidth="1"/>
    <col min="3287" max="3287" width="15" style="124" customWidth="1"/>
    <col min="3288" max="3288" width="16" style="124" customWidth="1"/>
    <col min="3289" max="3289" width="11.85546875" style="124" bestFit="1" customWidth="1"/>
    <col min="3290" max="3290" width="12.140625" style="124" bestFit="1" customWidth="1"/>
    <col min="3291" max="3291" width="0" style="124" hidden="1" customWidth="1"/>
    <col min="3292" max="3292" width="13.28515625" style="124" customWidth="1"/>
    <col min="3293" max="3293" width="12.85546875" style="124" bestFit="1" customWidth="1"/>
    <col min="3294" max="3536" width="11.42578125" style="124"/>
    <col min="3537" max="3537" width="3.85546875" style="124" customWidth="1"/>
    <col min="3538" max="3538" width="5.28515625" style="124" customWidth="1"/>
    <col min="3539" max="3539" width="4.7109375" style="124" customWidth="1"/>
    <col min="3540" max="3540" width="4.85546875" style="124" customWidth="1"/>
    <col min="3541" max="3541" width="52.42578125" style="124" bestFit="1" customWidth="1"/>
    <col min="3542" max="3542" width="13.140625" style="124" customWidth="1"/>
    <col min="3543" max="3543" width="15" style="124" customWidth="1"/>
    <col min="3544" max="3544" width="16" style="124" customWidth="1"/>
    <col min="3545" max="3545" width="11.85546875" style="124" bestFit="1" customWidth="1"/>
    <col min="3546" max="3546" width="12.140625" style="124" bestFit="1" customWidth="1"/>
    <col min="3547" max="3547" width="0" style="124" hidden="1" customWidth="1"/>
    <col min="3548" max="3548" width="13.28515625" style="124" customWidth="1"/>
    <col min="3549" max="3549" width="12.85546875" style="124" bestFit="1" customWidth="1"/>
    <col min="3550" max="3792" width="11.42578125" style="124"/>
    <col min="3793" max="3793" width="3.85546875" style="124" customWidth="1"/>
    <col min="3794" max="3794" width="5.28515625" style="124" customWidth="1"/>
    <col min="3795" max="3795" width="4.7109375" style="124" customWidth="1"/>
    <col min="3796" max="3796" width="4.85546875" style="124" customWidth="1"/>
    <col min="3797" max="3797" width="52.42578125" style="124" bestFit="1" customWidth="1"/>
    <col min="3798" max="3798" width="13.140625" style="124" customWidth="1"/>
    <col min="3799" max="3799" width="15" style="124" customWidth="1"/>
    <col min="3800" max="3800" width="16" style="124" customWidth="1"/>
    <col min="3801" max="3801" width="11.85546875" style="124" bestFit="1" customWidth="1"/>
    <col min="3802" max="3802" width="12.140625" style="124" bestFit="1" customWidth="1"/>
    <col min="3803" max="3803" width="0" style="124" hidden="1" customWidth="1"/>
    <col min="3804" max="3804" width="13.28515625" style="124" customWidth="1"/>
    <col min="3805" max="3805" width="12.85546875" style="124" bestFit="1" customWidth="1"/>
    <col min="3806" max="4048" width="11.42578125" style="124"/>
    <col min="4049" max="4049" width="3.85546875" style="124" customWidth="1"/>
    <col min="4050" max="4050" width="5.28515625" style="124" customWidth="1"/>
    <col min="4051" max="4051" width="4.7109375" style="124" customWidth="1"/>
    <col min="4052" max="4052" width="4.85546875" style="124" customWidth="1"/>
    <col min="4053" max="4053" width="52.42578125" style="124" bestFit="1" customWidth="1"/>
    <col min="4054" max="4054" width="13.140625" style="124" customWidth="1"/>
    <col min="4055" max="4055" width="15" style="124" customWidth="1"/>
    <col min="4056" max="4056" width="16" style="124" customWidth="1"/>
    <col min="4057" max="4057" width="11.85546875" style="124" bestFit="1" customWidth="1"/>
    <col min="4058" max="4058" width="12.140625" style="124" bestFit="1" customWidth="1"/>
    <col min="4059" max="4059" width="0" style="124" hidden="1" customWidth="1"/>
    <col min="4060" max="4060" width="13.28515625" style="124" customWidth="1"/>
    <col min="4061" max="4061" width="12.85546875" style="124" bestFit="1" customWidth="1"/>
    <col min="4062" max="4304" width="11.42578125" style="124"/>
    <col min="4305" max="4305" width="3.85546875" style="124" customWidth="1"/>
    <col min="4306" max="4306" width="5.28515625" style="124" customWidth="1"/>
    <col min="4307" max="4307" width="4.7109375" style="124" customWidth="1"/>
    <col min="4308" max="4308" width="4.85546875" style="124" customWidth="1"/>
    <col min="4309" max="4309" width="52.42578125" style="124" bestFit="1" customWidth="1"/>
    <col min="4310" max="4310" width="13.140625" style="124" customWidth="1"/>
    <col min="4311" max="4311" width="15" style="124" customWidth="1"/>
    <col min="4312" max="4312" width="16" style="124" customWidth="1"/>
    <col min="4313" max="4313" width="11.85546875" style="124" bestFit="1" customWidth="1"/>
    <col min="4314" max="4314" width="12.140625" style="124" bestFit="1" customWidth="1"/>
    <col min="4315" max="4315" width="0" style="124" hidden="1" customWidth="1"/>
    <col min="4316" max="4316" width="13.28515625" style="124" customWidth="1"/>
    <col min="4317" max="4317" width="12.85546875" style="124" bestFit="1" customWidth="1"/>
    <col min="4318" max="4560" width="11.42578125" style="124"/>
    <col min="4561" max="4561" width="3.85546875" style="124" customWidth="1"/>
    <col min="4562" max="4562" width="5.28515625" style="124" customWidth="1"/>
    <col min="4563" max="4563" width="4.7109375" style="124" customWidth="1"/>
    <col min="4564" max="4564" width="4.85546875" style="124" customWidth="1"/>
    <col min="4565" max="4565" width="52.42578125" style="124" bestFit="1" customWidth="1"/>
    <col min="4566" max="4566" width="13.140625" style="124" customWidth="1"/>
    <col min="4567" max="4567" width="15" style="124" customWidth="1"/>
    <col min="4568" max="4568" width="16" style="124" customWidth="1"/>
    <col min="4569" max="4569" width="11.85546875" style="124" bestFit="1" customWidth="1"/>
    <col min="4570" max="4570" width="12.140625" style="124" bestFit="1" customWidth="1"/>
    <col min="4571" max="4571" width="0" style="124" hidden="1" customWidth="1"/>
    <col min="4572" max="4572" width="13.28515625" style="124" customWidth="1"/>
    <col min="4573" max="4573" width="12.85546875" style="124" bestFit="1" customWidth="1"/>
    <col min="4574" max="4816" width="11.42578125" style="124"/>
    <col min="4817" max="4817" width="3.85546875" style="124" customWidth="1"/>
    <col min="4818" max="4818" width="5.28515625" style="124" customWidth="1"/>
    <col min="4819" max="4819" width="4.7109375" style="124" customWidth="1"/>
    <col min="4820" max="4820" width="4.85546875" style="124" customWidth="1"/>
    <col min="4821" max="4821" width="52.42578125" style="124" bestFit="1" customWidth="1"/>
    <col min="4822" max="4822" width="13.140625" style="124" customWidth="1"/>
    <col min="4823" max="4823" width="15" style="124" customWidth="1"/>
    <col min="4824" max="4824" width="16" style="124" customWidth="1"/>
    <col min="4825" max="4825" width="11.85546875" style="124" bestFit="1" customWidth="1"/>
    <col min="4826" max="4826" width="12.140625" style="124" bestFit="1" customWidth="1"/>
    <col min="4827" max="4827" width="0" style="124" hidden="1" customWidth="1"/>
    <col min="4828" max="4828" width="13.28515625" style="124" customWidth="1"/>
    <col min="4829" max="4829" width="12.85546875" style="124" bestFit="1" customWidth="1"/>
    <col min="4830" max="5072" width="11.42578125" style="124"/>
    <col min="5073" max="5073" width="3.85546875" style="124" customWidth="1"/>
    <col min="5074" max="5074" width="5.28515625" style="124" customWidth="1"/>
    <col min="5075" max="5075" width="4.7109375" style="124" customWidth="1"/>
    <col min="5076" max="5076" width="4.85546875" style="124" customWidth="1"/>
    <col min="5077" max="5077" width="52.42578125" style="124" bestFit="1" customWidth="1"/>
    <col min="5078" max="5078" width="13.140625" style="124" customWidth="1"/>
    <col min="5079" max="5079" width="15" style="124" customWidth="1"/>
    <col min="5080" max="5080" width="16" style="124" customWidth="1"/>
    <col min="5081" max="5081" width="11.85546875" style="124" bestFit="1" customWidth="1"/>
    <col min="5082" max="5082" width="12.140625" style="124" bestFit="1" customWidth="1"/>
    <col min="5083" max="5083" width="0" style="124" hidden="1" customWidth="1"/>
    <col min="5084" max="5084" width="13.28515625" style="124" customWidth="1"/>
    <col min="5085" max="5085" width="12.85546875" style="124" bestFit="1" customWidth="1"/>
    <col min="5086" max="5328" width="11.42578125" style="124"/>
    <col min="5329" max="5329" width="3.85546875" style="124" customWidth="1"/>
    <col min="5330" max="5330" width="5.28515625" style="124" customWidth="1"/>
    <col min="5331" max="5331" width="4.7109375" style="124" customWidth="1"/>
    <col min="5332" max="5332" width="4.85546875" style="124" customWidth="1"/>
    <col min="5333" max="5333" width="52.42578125" style="124" bestFit="1" customWidth="1"/>
    <col min="5334" max="5334" width="13.140625" style="124" customWidth="1"/>
    <col min="5335" max="5335" width="15" style="124" customWidth="1"/>
    <col min="5336" max="5336" width="16" style="124" customWidth="1"/>
    <col min="5337" max="5337" width="11.85546875" style="124" bestFit="1" customWidth="1"/>
    <col min="5338" max="5338" width="12.140625" style="124" bestFit="1" customWidth="1"/>
    <col min="5339" max="5339" width="0" style="124" hidden="1" customWidth="1"/>
    <col min="5340" max="5340" width="13.28515625" style="124" customWidth="1"/>
    <col min="5341" max="5341" width="12.85546875" style="124" bestFit="1" customWidth="1"/>
    <col min="5342" max="5584" width="11.42578125" style="124"/>
    <col min="5585" max="5585" width="3.85546875" style="124" customWidth="1"/>
    <col min="5586" max="5586" width="5.28515625" style="124" customWidth="1"/>
    <col min="5587" max="5587" width="4.7109375" style="124" customWidth="1"/>
    <col min="5588" max="5588" width="4.85546875" style="124" customWidth="1"/>
    <col min="5589" max="5589" width="52.42578125" style="124" bestFit="1" customWidth="1"/>
    <col min="5590" max="5590" width="13.140625" style="124" customWidth="1"/>
    <col min="5591" max="5591" width="15" style="124" customWidth="1"/>
    <col min="5592" max="5592" width="16" style="124" customWidth="1"/>
    <col min="5593" max="5593" width="11.85546875" style="124" bestFit="1" customWidth="1"/>
    <col min="5594" max="5594" width="12.140625" style="124" bestFit="1" customWidth="1"/>
    <col min="5595" max="5595" width="0" style="124" hidden="1" customWidth="1"/>
    <col min="5596" max="5596" width="13.28515625" style="124" customWidth="1"/>
    <col min="5597" max="5597" width="12.85546875" style="124" bestFit="1" customWidth="1"/>
    <col min="5598" max="5840" width="11.42578125" style="124"/>
    <col min="5841" max="5841" width="3.85546875" style="124" customWidth="1"/>
    <col min="5842" max="5842" width="5.28515625" style="124" customWidth="1"/>
    <col min="5843" max="5843" width="4.7109375" style="124" customWidth="1"/>
    <col min="5844" max="5844" width="4.85546875" style="124" customWidth="1"/>
    <col min="5845" max="5845" width="52.42578125" style="124" bestFit="1" customWidth="1"/>
    <col min="5846" max="5846" width="13.140625" style="124" customWidth="1"/>
    <col min="5847" max="5847" width="15" style="124" customWidth="1"/>
    <col min="5848" max="5848" width="16" style="124" customWidth="1"/>
    <col min="5849" max="5849" width="11.85546875" style="124" bestFit="1" customWidth="1"/>
    <col min="5850" max="5850" width="12.140625" style="124" bestFit="1" customWidth="1"/>
    <col min="5851" max="5851" width="0" style="124" hidden="1" customWidth="1"/>
    <col min="5852" max="5852" width="13.28515625" style="124" customWidth="1"/>
    <col min="5853" max="5853" width="12.85546875" style="124" bestFit="1" customWidth="1"/>
    <col min="5854" max="6096" width="11.42578125" style="124"/>
    <col min="6097" max="6097" width="3.85546875" style="124" customWidth="1"/>
    <col min="6098" max="6098" width="5.28515625" style="124" customWidth="1"/>
    <col min="6099" max="6099" width="4.7109375" style="124" customWidth="1"/>
    <col min="6100" max="6100" width="4.85546875" style="124" customWidth="1"/>
    <col min="6101" max="6101" width="52.42578125" style="124" bestFit="1" customWidth="1"/>
    <col min="6102" max="6102" width="13.140625" style="124" customWidth="1"/>
    <col min="6103" max="6103" width="15" style="124" customWidth="1"/>
    <col min="6104" max="6104" width="16" style="124" customWidth="1"/>
    <col min="6105" max="6105" width="11.85546875" style="124" bestFit="1" customWidth="1"/>
    <col min="6106" max="6106" width="12.140625" style="124" bestFit="1" customWidth="1"/>
    <col min="6107" max="6107" width="0" style="124" hidden="1" customWidth="1"/>
    <col min="6108" max="6108" width="13.28515625" style="124" customWidth="1"/>
    <col min="6109" max="6109" width="12.85546875" style="124" bestFit="1" customWidth="1"/>
    <col min="6110" max="6352" width="11.42578125" style="124"/>
    <col min="6353" max="6353" width="3.85546875" style="124" customWidth="1"/>
    <col min="6354" max="6354" width="5.28515625" style="124" customWidth="1"/>
    <col min="6355" max="6355" width="4.7109375" style="124" customWidth="1"/>
    <col min="6356" max="6356" width="4.85546875" style="124" customWidth="1"/>
    <col min="6357" max="6357" width="52.42578125" style="124" bestFit="1" customWidth="1"/>
    <col min="6358" max="6358" width="13.140625" style="124" customWidth="1"/>
    <col min="6359" max="6359" width="15" style="124" customWidth="1"/>
    <col min="6360" max="6360" width="16" style="124" customWidth="1"/>
    <col min="6361" max="6361" width="11.85546875" style="124" bestFit="1" customWidth="1"/>
    <col min="6362" max="6362" width="12.140625" style="124" bestFit="1" customWidth="1"/>
    <col min="6363" max="6363" width="0" style="124" hidden="1" customWidth="1"/>
    <col min="6364" max="6364" width="13.28515625" style="124" customWidth="1"/>
    <col min="6365" max="6365" width="12.85546875" style="124" bestFit="1" customWidth="1"/>
    <col min="6366" max="6608" width="11.42578125" style="124"/>
    <col min="6609" max="6609" width="3.85546875" style="124" customWidth="1"/>
    <col min="6610" max="6610" width="5.28515625" style="124" customWidth="1"/>
    <col min="6611" max="6611" width="4.7109375" style="124" customWidth="1"/>
    <col min="6612" max="6612" width="4.85546875" style="124" customWidth="1"/>
    <col min="6613" max="6613" width="52.42578125" style="124" bestFit="1" customWidth="1"/>
    <col min="6614" max="6614" width="13.140625" style="124" customWidth="1"/>
    <col min="6615" max="6615" width="15" style="124" customWidth="1"/>
    <col min="6616" max="6616" width="16" style="124" customWidth="1"/>
    <col min="6617" max="6617" width="11.85546875" style="124" bestFit="1" customWidth="1"/>
    <col min="6618" max="6618" width="12.140625" style="124" bestFit="1" customWidth="1"/>
    <col min="6619" max="6619" width="0" style="124" hidden="1" customWidth="1"/>
    <col min="6620" max="6620" width="13.28515625" style="124" customWidth="1"/>
    <col min="6621" max="6621" width="12.85546875" style="124" bestFit="1" customWidth="1"/>
    <col min="6622" max="6864" width="11.42578125" style="124"/>
    <col min="6865" max="6865" width="3.85546875" style="124" customWidth="1"/>
    <col min="6866" max="6866" width="5.28515625" style="124" customWidth="1"/>
    <col min="6867" max="6867" width="4.7109375" style="124" customWidth="1"/>
    <col min="6868" max="6868" width="4.85546875" style="124" customWidth="1"/>
    <col min="6869" max="6869" width="52.42578125" style="124" bestFit="1" customWidth="1"/>
    <col min="6870" max="6870" width="13.140625" style="124" customWidth="1"/>
    <col min="6871" max="6871" width="15" style="124" customWidth="1"/>
    <col min="6872" max="6872" width="16" style="124" customWidth="1"/>
    <col min="6873" max="6873" width="11.85546875" style="124" bestFit="1" customWidth="1"/>
    <col min="6874" max="6874" width="12.140625" style="124" bestFit="1" customWidth="1"/>
    <col min="6875" max="6875" width="0" style="124" hidden="1" customWidth="1"/>
    <col min="6876" max="6876" width="13.28515625" style="124" customWidth="1"/>
    <col min="6877" max="6877" width="12.85546875" style="124" bestFit="1" customWidth="1"/>
    <col min="6878" max="7120" width="11.42578125" style="124"/>
    <col min="7121" max="7121" width="3.85546875" style="124" customWidth="1"/>
    <col min="7122" max="7122" width="5.28515625" style="124" customWidth="1"/>
    <col min="7123" max="7123" width="4.7109375" style="124" customWidth="1"/>
    <col min="7124" max="7124" width="4.85546875" style="124" customWidth="1"/>
    <col min="7125" max="7125" width="52.42578125" style="124" bestFit="1" customWidth="1"/>
    <col min="7126" max="7126" width="13.140625" style="124" customWidth="1"/>
    <col min="7127" max="7127" width="15" style="124" customWidth="1"/>
    <col min="7128" max="7128" width="16" style="124" customWidth="1"/>
    <col min="7129" max="7129" width="11.85546875" style="124" bestFit="1" customWidth="1"/>
    <col min="7130" max="7130" width="12.140625" style="124" bestFit="1" customWidth="1"/>
    <col min="7131" max="7131" width="0" style="124" hidden="1" customWidth="1"/>
    <col min="7132" max="7132" width="13.28515625" style="124" customWidth="1"/>
    <col min="7133" max="7133" width="12.85546875" style="124" bestFit="1" customWidth="1"/>
    <col min="7134" max="7376" width="11.42578125" style="124"/>
    <col min="7377" max="7377" width="3.85546875" style="124" customWidth="1"/>
    <col min="7378" max="7378" width="5.28515625" style="124" customWidth="1"/>
    <col min="7379" max="7379" width="4.7109375" style="124" customWidth="1"/>
    <col min="7380" max="7380" width="4.85546875" style="124" customWidth="1"/>
    <col min="7381" max="7381" width="52.42578125" style="124" bestFit="1" customWidth="1"/>
    <col min="7382" max="7382" width="13.140625" style="124" customWidth="1"/>
    <col min="7383" max="7383" width="15" style="124" customWidth="1"/>
    <col min="7384" max="7384" width="16" style="124" customWidth="1"/>
    <col min="7385" max="7385" width="11.85546875" style="124" bestFit="1" customWidth="1"/>
    <col min="7386" max="7386" width="12.140625" style="124" bestFit="1" customWidth="1"/>
    <col min="7387" max="7387" width="0" style="124" hidden="1" customWidth="1"/>
    <col min="7388" max="7388" width="13.28515625" style="124" customWidth="1"/>
    <col min="7389" max="7389" width="12.85546875" style="124" bestFit="1" customWidth="1"/>
    <col min="7390" max="7632" width="11.42578125" style="124"/>
    <col min="7633" max="7633" width="3.85546875" style="124" customWidth="1"/>
    <col min="7634" max="7634" width="5.28515625" style="124" customWidth="1"/>
    <col min="7635" max="7635" width="4.7109375" style="124" customWidth="1"/>
    <col min="7636" max="7636" width="4.85546875" style="124" customWidth="1"/>
    <col min="7637" max="7637" width="52.42578125" style="124" bestFit="1" customWidth="1"/>
    <col min="7638" max="7638" width="13.140625" style="124" customWidth="1"/>
    <col min="7639" max="7639" width="15" style="124" customWidth="1"/>
    <col min="7640" max="7640" width="16" style="124" customWidth="1"/>
    <col min="7641" max="7641" width="11.85546875" style="124" bestFit="1" customWidth="1"/>
    <col min="7642" max="7642" width="12.140625" style="124" bestFit="1" customWidth="1"/>
    <col min="7643" max="7643" width="0" style="124" hidden="1" customWidth="1"/>
    <col min="7644" max="7644" width="13.28515625" style="124" customWidth="1"/>
    <col min="7645" max="7645" width="12.85546875" style="124" bestFit="1" customWidth="1"/>
    <col min="7646" max="7888" width="11.42578125" style="124"/>
    <col min="7889" max="7889" width="3.85546875" style="124" customWidth="1"/>
    <col min="7890" max="7890" width="5.28515625" style="124" customWidth="1"/>
    <col min="7891" max="7891" width="4.7109375" style="124" customWidth="1"/>
    <col min="7892" max="7892" width="4.85546875" style="124" customWidth="1"/>
    <col min="7893" max="7893" width="52.42578125" style="124" bestFit="1" customWidth="1"/>
    <col min="7894" max="7894" width="13.140625" style="124" customWidth="1"/>
    <col min="7895" max="7895" width="15" style="124" customWidth="1"/>
    <col min="7896" max="7896" width="16" style="124" customWidth="1"/>
    <col min="7897" max="7897" width="11.85546875" style="124" bestFit="1" customWidth="1"/>
    <col min="7898" max="7898" width="12.140625" style="124" bestFit="1" customWidth="1"/>
    <col min="7899" max="7899" width="0" style="124" hidden="1" customWidth="1"/>
    <col min="7900" max="7900" width="13.28515625" style="124" customWidth="1"/>
    <col min="7901" max="7901" width="12.85546875" style="124" bestFit="1" customWidth="1"/>
    <col min="7902" max="8144" width="11.42578125" style="124"/>
    <col min="8145" max="8145" width="3.85546875" style="124" customWidth="1"/>
    <col min="8146" max="8146" width="5.28515625" style="124" customWidth="1"/>
    <col min="8147" max="8147" width="4.7109375" style="124" customWidth="1"/>
    <col min="8148" max="8148" width="4.85546875" style="124" customWidth="1"/>
    <col min="8149" max="8149" width="52.42578125" style="124" bestFit="1" customWidth="1"/>
    <col min="8150" max="8150" width="13.140625" style="124" customWidth="1"/>
    <col min="8151" max="8151" width="15" style="124" customWidth="1"/>
    <col min="8152" max="8152" width="16" style="124" customWidth="1"/>
    <col min="8153" max="8153" width="11.85546875" style="124" bestFit="1" customWidth="1"/>
    <col min="8154" max="8154" width="12.140625" style="124" bestFit="1" customWidth="1"/>
    <col min="8155" max="8155" width="0" style="124" hidden="1" customWidth="1"/>
    <col min="8156" max="8156" width="13.28515625" style="124" customWidth="1"/>
    <col min="8157" max="8157" width="12.85546875" style="124" bestFit="1" customWidth="1"/>
    <col min="8158" max="8400" width="11.42578125" style="124"/>
    <col min="8401" max="8401" width="3.85546875" style="124" customWidth="1"/>
    <col min="8402" max="8402" width="5.28515625" style="124" customWidth="1"/>
    <col min="8403" max="8403" width="4.7109375" style="124" customWidth="1"/>
    <col min="8404" max="8404" width="4.85546875" style="124" customWidth="1"/>
    <col min="8405" max="8405" width="52.42578125" style="124" bestFit="1" customWidth="1"/>
    <col min="8406" max="8406" width="13.140625" style="124" customWidth="1"/>
    <col min="8407" max="8407" width="15" style="124" customWidth="1"/>
    <col min="8408" max="8408" width="16" style="124" customWidth="1"/>
    <col min="8409" max="8409" width="11.85546875" style="124" bestFit="1" customWidth="1"/>
    <col min="8410" max="8410" width="12.140625" style="124" bestFit="1" customWidth="1"/>
    <col min="8411" max="8411" width="0" style="124" hidden="1" customWidth="1"/>
    <col min="8412" max="8412" width="13.28515625" style="124" customWidth="1"/>
    <col min="8413" max="8413" width="12.85546875" style="124" bestFit="1" customWidth="1"/>
    <col min="8414" max="8656" width="11.42578125" style="124"/>
    <col min="8657" max="8657" width="3.85546875" style="124" customWidth="1"/>
    <col min="8658" max="8658" width="5.28515625" style="124" customWidth="1"/>
    <col min="8659" max="8659" width="4.7109375" style="124" customWidth="1"/>
    <col min="8660" max="8660" width="4.85546875" style="124" customWidth="1"/>
    <col min="8661" max="8661" width="52.42578125" style="124" bestFit="1" customWidth="1"/>
    <col min="8662" max="8662" width="13.140625" style="124" customWidth="1"/>
    <col min="8663" max="8663" width="15" style="124" customWidth="1"/>
    <col min="8664" max="8664" width="16" style="124" customWidth="1"/>
    <col min="8665" max="8665" width="11.85546875" style="124" bestFit="1" customWidth="1"/>
    <col min="8666" max="8666" width="12.140625" style="124" bestFit="1" customWidth="1"/>
    <col min="8667" max="8667" width="0" style="124" hidden="1" customWidth="1"/>
    <col min="8668" max="8668" width="13.28515625" style="124" customWidth="1"/>
    <col min="8669" max="8669" width="12.85546875" style="124" bestFit="1" customWidth="1"/>
    <col min="8670" max="8912" width="11.42578125" style="124"/>
    <col min="8913" max="8913" width="3.85546875" style="124" customWidth="1"/>
    <col min="8914" max="8914" width="5.28515625" style="124" customWidth="1"/>
    <col min="8915" max="8915" width="4.7109375" style="124" customWidth="1"/>
    <col min="8916" max="8916" width="4.85546875" style="124" customWidth="1"/>
    <col min="8917" max="8917" width="52.42578125" style="124" bestFit="1" customWidth="1"/>
    <col min="8918" max="8918" width="13.140625" style="124" customWidth="1"/>
    <col min="8919" max="8919" width="15" style="124" customWidth="1"/>
    <col min="8920" max="8920" width="16" style="124" customWidth="1"/>
    <col min="8921" max="8921" width="11.85546875" style="124" bestFit="1" customWidth="1"/>
    <col min="8922" max="8922" width="12.140625" style="124" bestFit="1" customWidth="1"/>
    <col min="8923" max="8923" width="0" style="124" hidden="1" customWidth="1"/>
    <col min="8924" max="8924" width="13.28515625" style="124" customWidth="1"/>
    <col min="8925" max="8925" width="12.85546875" style="124" bestFit="1" customWidth="1"/>
    <col min="8926" max="9168" width="11.42578125" style="124"/>
    <col min="9169" max="9169" width="3.85546875" style="124" customWidth="1"/>
    <col min="9170" max="9170" width="5.28515625" style="124" customWidth="1"/>
    <col min="9171" max="9171" width="4.7109375" style="124" customWidth="1"/>
    <col min="9172" max="9172" width="4.85546875" style="124" customWidth="1"/>
    <col min="9173" max="9173" width="52.42578125" style="124" bestFit="1" customWidth="1"/>
    <col min="9174" max="9174" width="13.140625" style="124" customWidth="1"/>
    <col min="9175" max="9175" width="15" style="124" customWidth="1"/>
    <col min="9176" max="9176" width="16" style="124" customWidth="1"/>
    <col min="9177" max="9177" width="11.85546875" style="124" bestFit="1" customWidth="1"/>
    <col min="9178" max="9178" width="12.140625" style="124" bestFit="1" customWidth="1"/>
    <col min="9179" max="9179" width="0" style="124" hidden="1" customWidth="1"/>
    <col min="9180" max="9180" width="13.28515625" style="124" customWidth="1"/>
    <col min="9181" max="9181" width="12.85546875" style="124" bestFit="1" customWidth="1"/>
    <col min="9182" max="9424" width="11.42578125" style="124"/>
    <col min="9425" max="9425" width="3.85546875" style="124" customWidth="1"/>
    <col min="9426" max="9426" width="5.28515625" style="124" customWidth="1"/>
    <col min="9427" max="9427" width="4.7109375" style="124" customWidth="1"/>
    <col min="9428" max="9428" width="4.85546875" style="124" customWidth="1"/>
    <col min="9429" max="9429" width="52.42578125" style="124" bestFit="1" customWidth="1"/>
    <col min="9430" max="9430" width="13.140625" style="124" customWidth="1"/>
    <col min="9431" max="9431" width="15" style="124" customWidth="1"/>
    <col min="9432" max="9432" width="16" style="124" customWidth="1"/>
    <col min="9433" max="9433" width="11.85546875" style="124" bestFit="1" customWidth="1"/>
    <col min="9434" max="9434" width="12.140625" style="124" bestFit="1" customWidth="1"/>
    <col min="9435" max="9435" width="0" style="124" hidden="1" customWidth="1"/>
    <col min="9436" max="9436" width="13.28515625" style="124" customWidth="1"/>
    <col min="9437" max="9437" width="12.85546875" style="124" bestFit="1" customWidth="1"/>
    <col min="9438" max="9680" width="11.42578125" style="124"/>
    <col min="9681" max="9681" width="3.85546875" style="124" customWidth="1"/>
    <col min="9682" max="9682" width="5.28515625" style="124" customWidth="1"/>
    <col min="9683" max="9683" width="4.7109375" style="124" customWidth="1"/>
    <col min="9684" max="9684" width="4.85546875" style="124" customWidth="1"/>
    <col min="9685" max="9685" width="52.42578125" style="124" bestFit="1" customWidth="1"/>
    <col min="9686" max="9686" width="13.140625" style="124" customWidth="1"/>
    <col min="9687" max="9687" width="15" style="124" customWidth="1"/>
    <col min="9688" max="9688" width="16" style="124" customWidth="1"/>
    <col min="9689" max="9689" width="11.85546875" style="124" bestFit="1" customWidth="1"/>
    <col min="9690" max="9690" width="12.140625" style="124" bestFit="1" customWidth="1"/>
    <col min="9691" max="9691" width="0" style="124" hidden="1" customWidth="1"/>
    <col min="9692" max="9692" width="13.28515625" style="124" customWidth="1"/>
    <col min="9693" max="9693" width="12.85546875" style="124" bestFit="1" customWidth="1"/>
    <col min="9694" max="9936" width="11.42578125" style="124"/>
    <col min="9937" max="9937" width="3.85546875" style="124" customWidth="1"/>
    <col min="9938" max="9938" width="5.28515625" style="124" customWidth="1"/>
    <col min="9939" max="9939" width="4.7109375" style="124" customWidth="1"/>
    <col min="9940" max="9940" width="4.85546875" style="124" customWidth="1"/>
    <col min="9941" max="9941" width="52.42578125" style="124" bestFit="1" customWidth="1"/>
    <col min="9942" max="9942" width="13.140625" style="124" customWidth="1"/>
    <col min="9943" max="9943" width="15" style="124" customWidth="1"/>
    <col min="9944" max="9944" width="16" style="124" customWidth="1"/>
    <col min="9945" max="9945" width="11.85546875" style="124" bestFit="1" customWidth="1"/>
    <col min="9946" max="9946" width="12.140625" style="124" bestFit="1" customWidth="1"/>
    <col min="9947" max="9947" width="0" style="124" hidden="1" customWidth="1"/>
    <col min="9948" max="9948" width="13.28515625" style="124" customWidth="1"/>
    <col min="9949" max="9949" width="12.85546875" style="124" bestFit="1" customWidth="1"/>
    <col min="9950" max="10192" width="11.42578125" style="124"/>
    <col min="10193" max="10193" width="3.85546875" style="124" customWidth="1"/>
    <col min="10194" max="10194" width="5.28515625" style="124" customWidth="1"/>
    <col min="10195" max="10195" width="4.7109375" style="124" customWidth="1"/>
    <col min="10196" max="10196" width="4.85546875" style="124" customWidth="1"/>
    <col min="10197" max="10197" width="52.42578125" style="124" bestFit="1" customWidth="1"/>
    <col min="10198" max="10198" width="13.140625" style="124" customWidth="1"/>
    <col min="10199" max="10199" width="15" style="124" customWidth="1"/>
    <col min="10200" max="10200" width="16" style="124" customWidth="1"/>
    <col min="10201" max="10201" width="11.85546875" style="124" bestFit="1" customWidth="1"/>
    <col min="10202" max="10202" width="12.140625" style="124" bestFit="1" customWidth="1"/>
    <col min="10203" max="10203" width="0" style="124" hidden="1" customWidth="1"/>
    <col min="10204" max="10204" width="13.28515625" style="124" customWidth="1"/>
    <col min="10205" max="10205" width="12.85546875" style="124" bestFit="1" customWidth="1"/>
    <col min="10206" max="10448" width="11.42578125" style="124"/>
    <col min="10449" max="10449" width="3.85546875" style="124" customWidth="1"/>
    <col min="10450" max="10450" width="5.28515625" style="124" customWidth="1"/>
    <col min="10451" max="10451" width="4.7109375" style="124" customWidth="1"/>
    <col min="10452" max="10452" width="4.85546875" style="124" customWidth="1"/>
    <col min="10453" max="10453" width="52.42578125" style="124" bestFit="1" customWidth="1"/>
    <col min="10454" max="10454" width="13.140625" style="124" customWidth="1"/>
    <col min="10455" max="10455" width="15" style="124" customWidth="1"/>
    <col min="10456" max="10456" width="16" style="124" customWidth="1"/>
    <col min="10457" max="10457" width="11.85546875" style="124" bestFit="1" customWidth="1"/>
    <col min="10458" max="10458" width="12.140625" style="124" bestFit="1" customWidth="1"/>
    <col min="10459" max="10459" width="0" style="124" hidden="1" customWidth="1"/>
    <col min="10460" max="10460" width="13.28515625" style="124" customWidth="1"/>
    <col min="10461" max="10461" width="12.85546875" style="124" bestFit="1" customWidth="1"/>
    <col min="10462" max="10704" width="11.42578125" style="124"/>
    <col min="10705" max="10705" width="3.85546875" style="124" customWidth="1"/>
    <col min="10706" max="10706" width="5.28515625" style="124" customWidth="1"/>
    <col min="10707" max="10707" width="4.7109375" style="124" customWidth="1"/>
    <col min="10708" max="10708" width="4.85546875" style="124" customWidth="1"/>
    <col min="10709" max="10709" width="52.42578125" style="124" bestFit="1" customWidth="1"/>
    <col min="10710" max="10710" width="13.140625" style="124" customWidth="1"/>
    <col min="10711" max="10711" width="15" style="124" customWidth="1"/>
    <col min="10712" max="10712" width="16" style="124" customWidth="1"/>
    <col min="10713" max="10713" width="11.85546875" style="124" bestFit="1" customWidth="1"/>
    <col min="10714" max="10714" width="12.140625" style="124" bestFit="1" customWidth="1"/>
    <col min="10715" max="10715" width="0" style="124" hidden="1" customWidth="1"/>
    <col min="10716" max="10716" width="13.28515625" style="124" customWidth="1"/>
    <col min="10717" max="10717" width="12.85546875" style="124" bestFit="1" customWidth="1"/>
    <col min="10718" max="10960" width="11.42578125" style="124"/>
    <col min="10961" max="10961" width="3.85546875" style="124" customWidth="1"/>
    <col min="10962" max="10962" width="5.28515625" style="124" customWidth="1"/>
    <col min="10963" max="10963" width="4.7109375" style="124" customWidth="1"/>
    <col min="10964" max="10964" width="4.85546875" style="124" customWidth="1"/>
    <col min="10965" max="10965" width="52.42578125" style="124" bestFit="1" customWidth="1"/>
    <col min="10966" max="10966" width="13.140625" style="124" customWidth="1"/>
    <col min="10967" max="10967" width="15" style="124" customWidth="1"/>
    <col min="10968" max="10968" width="16" style="124" customWidth="1"/>
    <col min="10969" max="10969" width="11.85546875" style="124" bestFit="1" customWidth="1"/>
    <col min="10970" max="10970" width="12.140625" style="124" bestFit="1" customWidth="1"/>
    <col min="10971" max="10971" width="0" style="124" hidden="1" customWidth="1"/>
    <col min="10972" max="10972" width="13.28515625" style="124" customWidth="1"/>
    <col min="10973" max="10973" width="12.85546875" style="124" bestFit="1" customWidth="1"/>
    <col min="10974" max="11216" width="11.42578125" style="124"/>
    <col min="11217" max="11217" width="3.85546875" style="124" customWidth="1"/>
    <col min="11218" max="11218" width="5.28515625" style="124" customWidth="1"/>
    <col min="11219" max="11219" width="4.7109375" style="124" customWidth="1"/>
    <col min="11220" max="11220" width="4.85546875" style="124" customWidth="1"/>
    <col min="11221" max="11221" width="52.42578125" style="124" bestFit="1" customWidth="1"/>
    <col min="11222" max="11222" width="13.140625" style="124" customWidth="1"/>
    <col min="11223" max="11223" width="15" style="124" customWidth="1"/>
    <col min="11224" max="11224" width="16" style="124" customWidth="1"/>
    <col min="11225" max="11225" width="11.85546875" style="124" bestFit="1" customWidth="1"/>
    <col min="11226" max="11226" width="12.140625" style="124" bestFit="1" customWidth="1"/>
    <col min="11227" max="11227" width="0" style="124" hidden="1" customWidth="1"/>
    <col min="11228" max="11228" width="13.28515625" style="124" customWidth="1"/>
    <col min="11229" max="11229" width="12.85546875" style="124" bestFit="1" customWidth="1"/>
    <col min="11230" max="11472" width="11.42578125" style="124"/>
    <col min="11473" max="11473" width="3.85546875" style="124" customWidth="1"/>
    <col min="11474" max="11474" width="5.28515625" style="124" customWidth="1"/>
    <col min="11475" max="11475" width="4.7109375" style="124" customWidth="1"/>
    <col min="11476" max="11476" width="4.85546875" style="124" customWidth="1"/>
    <col min="11477" max="11477" width="52.42578125" style="124" bestFit="1" customWidth="1"/>
    <col min="11478" max="11478" width="13.140625" style="124" customWidth="1"/>
    <col min="11479" max="11479" width="15" style="124" customWidth="1"/>
    <col min="11480" max="11480" width="16" style="124" customWidth="1"/>
    <col min="11481" max="11481" width="11.85546875" style="124" bestFit="1" customWidth="1"/>
    <col min="11482" max="11482" width="12.140625" style="124" bestFit="1" customWidth="1"/>
    <col min="11483" max="11483" width="0" style="124" hidden="1" customWidth="1"/>
    <col min="11484" max="11484" width="13.28515625" style="124" customWidth="1"/>
    <col min="11485" max="11485" width="12.85546875" style="124" bestFit="1" customWidth="1"/>
    <col min="11486" max="11728" width="11.42578125" style="124"/>
    <col min="11729" max="11729" width="3.85546875" style="124" customWidth="1"/>
    <col min="11730" max="11730" width="5.28515625" style="124" customWidth="1"/>
    <col min="11731" max="11731" width="4.7109375" style="124" customWidth="1"/>
    <col min="11732" max="11732" width="4.85546875" style="124" customWidth="1"/>
    <col min="11733" max="11733" width="52.42578125" style="124" bestFit="1" customWidth="1"/>
    <col min="11734" max="11734" width="13.140625" style="124" customWidth="1"/>
    <col min="11735" max="11735" width="15" style="124" customWidth="1"/>
    <col min="11736" max="11736" width="16" style="124" customWidth="1"/>
    <col min="11737" max="11737" width="11.85546875" style="124" bestFit="1" customWidth="1"/>
    <col min="11738" max="11738" width="12.140625" style="124" bestFit="1" customWidth="1"/>
    <col min="11739" max="11739" width="0" style="124" hidden="1" customWidth="1"/>
    <col min="11740" max="11740" width="13.28515625" style="124" customWidth="1"/>
    <col min="11741" max="11741" width="12.85546875" style="124" bestFit="1" customWidth="1"/>
    <col min="11742" max="11984" width="11.42578125" style="124"/>
    <col min="11985" max="11985" width="3.85546875" style="124" customWidth="1"/>
    <col min="11986" max="11986" width="5.28515625" style="124" customWidth="1"/>
    <col min="11987" max="11987" width="4.7109375" style="124" customWidth="1"/>
    <col min="11988" max="11988" width="4.85546875" style="124" customWidth="1"/>
    <col min="11989" max="11989" width="52.42578125" style="124" bestFit="1" customWidth="1"/>
    <col min="11990" max="11990" width="13.140625" style="124" customWidth="1"/>
    <col min="11991" max="11991" width="15" style="124" customWidth="1"/>
    <col min="11992" max="11992" width="16" style="124" customWidth="1"/>
    <col min="11993" max="11993" width="11.85546875" style="124" bestFit="1" customWidth="1"/>
    <col min="11994" max="11994" width="12.140625" style="124" bestFit="1" customWidth="1"/>
    <col min="11995" max="11995" width="0" style="124" hidden="1" customWidth="1"/>
    <col min="11996" max="11996" width="13.28515625" style="124" customWidth="1"/>
    <col min="11997" max="11997" width="12.85546875" style="124" bestFit="1" customWidth="1"/>
    <col min="11998" max="12240" width="11.42578125" style="124"/>
    <col min="12241" max="12241" width="3.85546875" style="124" customWidth="1"/>
    <col min="12242" max="12242" width="5.28515625" style="124" customWidth="1"/>
    <col min="12243" max="12243" width="4.7109375" style="124" customWidth="1"/>
    <col min="12244" max="12244" width="4.85546875" style="124" customWidth="1"/>
    <col min="12245" max="12245" width="52.42578125" style="124" bestFit="1" customWidth="1"/>
    <col min="12246" max="12246" width="13.140625" style="124" customWidth="1"/>
    <col min="12247" max="12247" width="15" style="124" customWidth="1"/>
    <col min="12248" max="12248" width="16" style="124" customWidth="1"/>
    <col min="12249" max="12249" width="11.85546875" style="124" bestFit="1" customWidth="1"/>
    <col min="12250" max="12250" width="12.140625" style="124" bestFit="1" customWidth="1"/>
    <col min="12251" max="12251" width="0" style="124" hidden="1" customWidth="1"/>
    <col min="12252" max="12252" width="13.28515625" style="124" customWidth="1"/>
    <col min="12253" max="12253" width="12.85546875" style="124" bestFit="1" customWidth="1"/>
    <col min="12254" max="12496" width="11.42578125" style="124"/>
    <col min="12497" max="12497" width="3.85546875" style="124" customWidth="1"/>
    <col min="12498" max="12498" width="5.28515625" style="124" customWidth="1"/>
    <col min="12499" max="12499" width="4.7109375" style="124" customWidth="1"/>
    <col min="12500" max="12500" width="4.85546875" style="124" customWidth="1"/>
    <col min="12501" max="12501" width="52.42578125" style="124" bestFit="1" customWidth="1"/>
    <col min="12502" max="12502" width="13.140625" style="124" customWidth="1"/>
    <col min="12503" max="12503" width="15" style="124" customWidth="1"/>
    <col min="12504" max="12504" width="16" style="124" customWidth="1"/>
    <col min="12505" max="12505" width="11.85546875" style="124" bestFit="1" customWidth="1"/>
    <col min="12506" max="12506" width="12.140625" style="124" bestFit="1" customWidth="1"/>
    <col min="12507" max="12507" width="0" style="124" hidden="1" customWidth="1"/>
    <col min="12508" max="12508" width="13.28515625" style="124" customWidth="1"/>
    <col min="12509" max="12509" width="12.85546875" style="124" bestFit="1" customWidth="1"/>
    <col min="12510" max="12752" width="11.42578125" style="124"/>
    <col min="12753" max="12753" width="3.85546875" style="124" customWidth="1"/>
    <col min="12754" max="12754" width="5.28515625" style="124" customWidth="1"/>
    <col min="12755" max="12755" width="4.7109375" style="124" customWidth="1"/>
    <col min="12756" max="12756" width="4.85546875" style="124" customWidth="1"/>
    <col min="12757" max="12757" width="52.42578125" style="124" bestFit="1" customWidth="1"/>
    <col min="12758" max="12758" width="13.140625" style="124" customWidth="1"/>
    <col min="12759" max="12759" width="15" style="124" customWidth="1"/>
    <col min="12760" max="12760" width="16" style="124" customWidth="1"/>
    <col min="12761" max="12761" width="11.85546875" style="124" bestFit="1" customWidth="1"/>
    <col min="12762" max="12762" width="12.140625" style="124" bestFit="1" customWidth="1"/>
    <col min="12763" max="12763" width="0" style="124" hidden="1" customWidth="1"/>
    <col min="12764" max="12764" width="13.28515625" style="124" customWidth="1"/>
    <col min="12765" max="12765" width="12.85546875" style="124" bestFit="1" customWidth="1"/>
    <col min="12766" max="13008" width="11.42578125" style="124"/>
    <col min="13009" max="13009" width="3.85546875" style="124" customWidth="1"/>
    <col min="13010" max="13010" width="5.28515625" style="124" customWidth="1"/>
    <col min="13011" max="13011" width="4.7109375" style="124" customWidth="1"/>
    <col min="13012" max="13012" width="4.85546875" style="124" customWidth="1"/>
    <col min="13013" max="13013" width="52.42578125" style="124" bestFit="1" customWidth="1"/>
    <col min="13014" max="13014" width="13.140625" style="124" customWidth="1"/>
    <col min="13015" max="13015" width="15" style="124" customWidth="1"/>
    <col min="13016" max="13016" width="16" style="124" customWidth="1"/>
    <col min="13017" max="13017" width="11.85546875" style="124" bestFit="1" customWidth="1"/>
    <col min="13018" max="13018" width="12.140625" style="124" bestFit="1" customWidth="1"/>
    <col min="13019" max="13019" width="0" style="124" hidden="1" customWidth="1"/>
    <col min="13020" max="13020" width="13.28515625" style="124" customWidth="1"/>
    <col min="13021" max="13021" width="12.85546875" style="124" bestFit="1" customWidth="1"/>
    <col min="13022" max="13264" width="11.42578125" style="124"/>
    <col min="13265" max="13265" width="3.85546875" style="124" customWidth="1"/>
    <col min="13266" max="13266" width="5.28515625" style="124" customWidth="1"/>
    <col min="13267" max="13267" width="4.7109375" style="124" customWidth="1"/>
    <col min="13268" max="13268" width="4.85546875" style="124" customWidth="1"/>
    <col min="13269" max="13269" width="52.42578125" style="124" bestFit="1" customWidth="1"/>
    <col min="13270" max="13270" width="13.140625" style="124" customWidth="1"/>
    <col min="13271" max="13271" width="15" style="124" customWidth="1"/>
    <col min="13272" max="13272" width="16" style="124" customWidth="1"/>
    <col min="13273" max="13273" width="11.85546875" style="124" bestFit="1" customWidth="1"/>
    <col min="13274" max="13274" width="12.140625" style="124" bestFit="1" customWidth="1"/>
    <col min="13275" max="13275" width="0" style="124" hidden="1" customWidth="1"/>
    <col min="13276" max="13276" width="13.28515625" style="124" customWidth="1"/>
    <col min="13277" max="13277" width="12.85546875" style="124" bestFit="1" customWidth="1"/>
    <col min="13278" max="13520" width="11.42578125" style="124"/>
    <col min="13521" max="13521" width="3.85546875" style="124" customWidth="1"/>
    <col min="13522" max="13522" width="5.28515625" style="124" customWidth="1"/>
    <col min="13523" max="13523" width="4.7109375" style="124" customWidth="1"/>
    <col min="13524" max="13524" width="4.85546875" style="124" customWidth="1"/>
    <col min="13525" max="13525" width="52.42578125" style="124" bestFit="1" customWidth="1"/>
    <col min="13526" max="13526" width="13.140625" style="124" customWidth="1"/>
    <col min="13527" max="13527" width="15" style="124" customWidth="1"/>
    <col min="13528" max="13528" width="16" style="124" customWidth="1"/>
    <col min="13529" max="13529" width="11.85546875" style="124" bestFit="1" customWidth="1"/>
    <col min="13530" max="13530" width="12.140625" style="124" bestFit="1" customWidth="1"/>
    <col min="13531" max="13531" width="0" style="124" hidden="1" customWidth="1"/>
    <col min="13532" max="13532" width="13.28515625" style="124" customWidth="1"/>
    <col min="13533" max="13533" width="12.85546875" style="124" bestFit="1" customWidth="1"/>
    <col min="13534" max="13776" width="11.42578125" style="124"/>
    <col min="13777" max="13777" width="3.85546875" style="124" customWidth="1"/>
    <col min="13778" max="13778" width="5.28515625" style="124" customWidth="1"/>
    <col min="13779" max="13779" width="4.7109375" style="124" customWidth="1"/>
    <col min="13780" max="13780" width="4.85546875" style="124" customWidth="1"/>
    <col min="13781" max="13781" width="52.42578125" style="124" bestFit="1" customWidth="1"/>
    <col min="13782" max="13782" width="13.140625" style="124" customWidth="1"/>
    <col min="13783" max="13783" width="15" style="124" customWidth="1"/>
    <col min="13784" max="13784" width="16" style="124" customWidth="1"/>
    <col min="13785" max="13785" width="11.85546875" style="124" bestFit="1" customWidth="1"/>
    <col min="13786" max="13786" width="12.140625" style="124" bestFit="1" customWidth="1"/>
    <col min="13787" max="13787" width="0" style="124" hidden="1" customWidth="1"/>
    <col min="13788" max="13788" width="13.28515625" style="124" customWidth="1"/>
    <col min="13789" max="13789" width="12.85546875" style="124" bestFit="1" customWidth="1"/>
    <col min="13790" max="14032" width="11.42578125" style="124"/>
    <col min="14033" max="14033" width="3.85546875" style="124" customWidth="1"/>
    <col min="14034" max="14034" width="5.28515625" style="124" customWidth="1"/>
    <col min="14035" max="14035" width="4.7109375" style="124" customWidth="1"/>
    <col min="14036" max="14036" width="4.85546875" style="124" customWidth="1"/>
    <col min="14037" max="14037" width="52.42578125" style="124" bestFit="1" customWidth="1"/>
    <col min="14038" max="14038" width="13.140625" style="124" customWidth="1"/>
    <col min="14039" max="14039" width="15" style="124" customWidth="1"/>
    <col min="14040" max="14040" width="16" style="124" customWidth="1"/>
    <col min="14041" max="14041" width="11.85546875" style="124" bestFit="1" customWidth="1"/>
    <col min="14042" max="14042" width="12.140625" style="124" bestFit="1" customWidth="1"/>
    <col min="14043" max="14043" width="0" style="124" hidden="1" customWidth="1"/>
    <col min="14044" max="14044" width="13.28515625" style="124" customWidth="1"/>
    <col min="14045" max="14045" width="12.85546875" style="124" bestFit="1" customWidth="1"/>
    <col min="14046" max="14288" width="11.42578125" style="124"/>
    <col min="14289" max="14289" width="3.85546875" style="124" customWidth="1"/>
    <col min="14290" max="14290" width="5.28515625" style="124" customWidth="1"/>
    <col min="14291" max="14291" width="4.7109375" style="124" customWidth="1"/>
    <col min="14292" max="14292" width="4.85546875" style="124" customWidth="1"/>
    <col min="14293" max="14293" width="52.42578125" style="124" bestFit="1" customWidth="1"/>
    <col min="14294" max="14294" width="13.140625" style="124" customWidth="1"/>
    <col min="14295" max="14295" width="15" style="124" customWidth="1"/>
    <col min="14296" max="14296" width="16" style="124" customWidth="1"/>
    <col min="14297" max="14297" width="11.85546875" style="124" bestFit="1" customWidth="1"/>
    <col min="14298" max="14298" width="12.140625" style="124" bestFit="1" customWidth="1"/>
    <col min="14299" max="14299" width="0" style="124" hidden="1" customWidth="1"/>
    <col min="14300" max="14300" width="13.28515625" style="124" customWidth="1"/>
    <col min="14301" max="14301" width="12.85546875" style="124" bestFit="1" customWidth="1"/>
    <col min="14302" max="14544" width="11.42578125" style="124"/>
    <col min="14545" max="14545" width="3.85546875" style="124" customWidth="1"/>
    <col min="14546" max="14546" width="5.28515625" style="124" customWidth="1"/>
    <col min="14547" max="14547" width="4.7109375" style="124" customWidth="1"/>
    <col min="14548" max="14548" width="4.85546875" style="124" customWidth="1"/>
    <col min="14549" max="14549" width="52.42578125" style="124" bestFit="1" customWidth="1"/>
    <col min="14550" max="14550" width="13.140625" style="124" customWidth="1"/>
    <col min="14551" max="14551" width="15" style="124" customWidth="1"/>
    <col min="14552" max="14552" width="16" style="124" customWidth="1"/>
    <col min="14553" max="14553" width="11.85546875" style="124" bestFit="1" customWidth="1"/>
    <col min="14554" max="14554" width="12.140625" style="124" bestFit="1" customWidth="1"/>
    <col min="14555" max="14555" width="0" style="124" hidden="1" customWidth="1"/>
    <col min="14556" max="14556" width="13.28515625" style="124" customWidth="1"/>
    <col min="14557" max="14557" width="12.85546875" style="124" bestFit="1" customWidth="1"/>
    <col min="14558" max="14800" width="11.42578125" style="124"/>
    <col min="14801" max="14801" width="3.85546875" style="124" customWidth="1"/>
    <col min="14802" max="14802" width="5.28515625" style="124" customWidth="1"/>
    <col min="14803" max="14803" width="4.7109375" style="124" customWidth="1"/>
    <col min="14804" max="14804" width="4.85546875" style="124" customWidth="1"/>
    <col min="14805" max="14805" width="52.42578125" style="124" bestFit="1" customWidth="1"/>
    <col min="14806" max="14806" width="13.140625" style="124" customWidth="1"/>
    <col min="14807" max="14807" width="15" style="124" customWidth="1"/>
    <col min="14808" max="14808" width="16" style="124" customWidth="1"/>
    <col min="14809" max="14809" width="11.85546875" style="124" bestFit="1" customWidth="1"/>
    <col min="14810" max="14810" width="12.140625" style="124" bestFit="1" customWidth="1"/>
    <col min="14811" max="14811" width="0" style="124" hidden="1" customWidth="1"/>
    <col min="14812" max="14812" width="13.28515625" style="124" customWidth="1"/>
    <col min="14813" max="14813" width="12.85546875" style="124" bestFit="1" customWidth="1"/>
    <col min="14814" max="15056" width="11.42578125" style="124"/>
    <col min="15057" max="15057" width="3.85546875" style="124" customWidth="1"/>
    <col min="15058" max="15058" width="5.28515625" style="124" customWidth="1"/>
    <col min="15059" max="15059" width="4.7109375" style="124" customWidth="1"/>
    <col min="15060" max="15060" width="4.85546875" style="124" customWidth="1"/>
    <col min="15061" max="15061" width="52.42578125" style="124" bestFit="1" customWidth="1"/>
    <col min="15062" max="15062" width="13.140625" style="124" customWidth="1"/>
    <col min="15063" max="15063" width="15" style="124" customWidth="1"/>
    <col min="15064" max="15064" width="16" style="124" customWidth="1"/>
    <col min="15065" max="15065" width="11.85546875" style="124" bestFit="1" customWidth="1"/>
    <col min="15066" max="15066" width="12.140625" style="124" bestFit="1" customWidth="1"/>
    <col min="15067" max="15067" width="0" style="124" hidden="1" customWidth="1"/>
    <col min="15068" max="15068" width="13.28515625" style="124" customWidth="1"/>
    <col min="15069" max="15069" width="12.85546875" style="124" bestFit="1" customWidth="1"/>
    <col min="15070" max="15312" width="11.42578125" style="124"/>
    <col min="15313" max="15313" width="3.85546875" style="124" customWidth="1"/>
    <col min="15314" max="15314" width="5.28515625" style="124" customWidth="1"/>
    <col min="15315" max="15315" width="4.7109375" style="124" customWidth="1"/>
    <col min="15316" max="15316" width="4.85546875" style="124" customWidth="1"/>
    <col min="15317" max="15317" width="52.42578125" style="124" bestFit="1" customWidth="1"/>
    <col min="15318" max="15318" width="13.140625" style="124" customWidth="1"/>
    <col min="15319" max="15319" width="15" style="124" customWidth="1"/>
    <col min="15320" max="15320" width="16" style="124" customWidth="1"/>
    <col min="15321" max="15321" width="11.85546875" style="124" bestFit="1" customWidth="1"/>
    <col min="15322" max="15322" width="12.140625" style="124" bestFit="1" customWidth="1"/>
    <col min="15323" max="15323" width="0" style="124" hidden="1" customWidth="1"/>
    <col min="15324" max="15324" width="13.28515625" style="124" customWidth="1"/>
    <col min="15325" max="15325" width="12.85546875" style="124" bestFit="1" customWidth="1"/>
    <col min="15326" max="15568" width="11.42578125" style="124"/>
    <col min="15569" max="15569" width="3.85546875" style="124" customWidth="1"/>
    <col min="15570" max="15570" width="5.28515625" style="124" customWidth="1"/>
    <col min="15571" max="15571" width="4.7109375" style="124" customWidth="1"/>
    <col min="15572" max="15572" width="4.85546875" style="124" customWidth="1"/>
    <col min="15573" max="15573" width="52.42578125" style="124" bestFit="1" customWidth="1"/>
    <col min="15574" max="15574" width="13.140625" style="124" customWidth="1"/>
    <col min="15575" max="15575" width="15" style="124" customWidth="1"/>
    <col min="15576" max="15576" width="16" style="124" customWidth="1"/>
    <col min="15577" max="15577" width="11.85546875" style="124" bestFit="1" customWidth="1"/>
    <col min="15578" max="15578" width="12.140625" style="124" bestFit="1" customWidth="1"/>
    <col min="15579" max="15579" width="0" style="124" hidden="1" customWidth="1"/>
    <col min="15580" max="15580" width="13.28515625" style="124" customWidth="1"/>
    <col min="15581" max="15581" width="12.85546875" style="124" bestFit="1" customWidth="1"/>
    <col min="15582" max="15824" width="11.42578125" style="124"/>
    <col min="15825" max="15825" width="3.85546875" style="124" customWidth="1"/>
    <col min="15826" max="15826" width="5.28515625" style="124" customWidth="1"/>
    <col min="15827" max="15827" width="4.7109375" style="124" customWidth="1"/>
    <col min="15828" max="15828" width="4.85546875" style="124" customWidth="1"/>
    <col min="15829" max="15829" width="52.42578125" style="124" bestFit="1" customWidth="1"/>
    <col min="15830" max="15830" width="13.140625" style="124" customWidth="1"/>
    <col min="15831" max="15831" width="15" style="124" customWidth="1"/>
    <col min="15832" max="15832" width="16" style="124" customWidth="1"/>
    <col min="15833" max="15833" width="11.85546875" style="124" bestFit="1" customWidth="1"/>
    <col min="15834" max="15834" width="12.140625" style="124" bestFit="1" customWidth="1"/>
    <col min="15835" max="15835" width="0" style="124" hidden="1" customWidth="1"/>
    <col min="15836" max="15836" width="13.28515625" style="124" customWidth="1"/>
    <col min="15837" max="15837" width="12.85546875" style="124" bestFit="1" customWidth="1"/>
    <col min="15838" max="16080" width="11.42578125" style="124"/>
    <col min="16081" max="16081" width="3.85546875" style="124" customWidth="1"/>
    <col min="16082" max="16082" width="5.28515625" style="124" customWidth="1"/>
    <col min="16083" max="16083" width="4.7109375" style="124" customWidth="1"/>
    <col min="16084" max="16084" width="4.85546875" style="124" customWidth="1"/>
    <col min="16085" max="16085" width="52.42578125" style="124" bestFit="1" customWidth="1"/>
    <col min="16086" max="16086" width="13.140625" style="124" customWidth="1"/>
    <col min="16087" max="16087" width="15" style="124" customWidth="1"/>
    <col min="16088" max="16088" width="16" style="124" customWidth="1"/>
    <col min="16089" max="16089" width="11.85546875" style="124" bestFit="1" customWidth="1"/>
    <col min="16090" max="16090" width="12.140625" style="124" bestFit="1" customWidth="1"/>
    <col min="16091" max="16091" width="0" style="124" hidden="1" customWidth="1"/>
    <col min="16092" max="16092" width="13.28515625" style="124" customWidth="1"/>
    <col min="16093" max="16093" width="12.85546875" style="124" bestFit="1" customWidth="1"/>
    <col min="16094" max="16382" width="11.42578125" style="124"/>
    <col min="16383" max="16384" width="10.85546875" style="124" customWidth="1"/>
  </cols>
  <sheetData>
    <row r="2" spans="1:20" ht="18.75" x14ac:dyDescent="0.25">
      <c r="A2" s="157" t="s">
        <v>446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20" x14ac:dyDescent="0.25">
      <c r="S3" s="51"/>
    </row>
    <row r="4" spans="1:20" ht="41.25" customHeight="1" x14ac:dyDescent="0.25">
      <c r="A4" s="50" t="s">
        <v>0</v>
      </c>
      <c r="B4" s="50" t="s">
        <v>1</v>
      </c>
      <c r="C4" s="50" t="s">
        <v>2</v>
      </c>
      <c r="D4" s="50" t="s">
        <v>3</v>
      </c>
      <c r="E4" s="126" t="s">
        <v>447</v>
      </c>
      <c r="F4" s="126" t="s">
        <v>457</v>
      </c>
      <c r="G4" s="126" t="s">
        <v>456</v>
      </c>
      <c r="H4" s="126" t="s">
        <v>4</v>
      </c>
      <c r="I4" s="126" t="s">
        <v>5</v>
      </c>
      <c r="J4" s="126" t="s">
        <v>6</v>
      </c>
      <c r="K4" s="126" t="s">
        <v>24</v>
      </c>
      <c r="L4" s="126" t="s">
        <v>25</v>
      </c>
      <c r="M4" s="126" t="s">
        <v>26</v>
      </c>
      <c r="N4" s="126" t="s">
        <v>27</v>
      </c>
      <c r="O4" s="126" t="s">
        <v>28</v>
      </c>
      <c r="P4" s="126" t="s">
        <v>29</v>
      </c>
      <c r="Q4" s="126" t="s">
        <v>30</v>
      </c>
      <c r="R4" s="126" t="s">
        <v>31</v>
      </c>
      <c r="S4" s="126" t="s">
        <v>32</v>
      </c>
      <c r="T4" s="126" t="s">
        <v>448</v>
      </c>
    </row>
    <row r="5" spans="1:20" ht="41.25" customHeight="1" x14ac:dyDescent="0.25">
      <c r="A5" s="50"/>
      <c r="B5" s="50"/>
      <c r="C5" s="50"/>
      <c r="D5" s="50"/>
      <c r="E5" s="126"/>
      <c r="F5" s="126"/>
      <c r="G5" s="126"/>
      <c r="H5" s="126" t="s">
        <v>454</v>
      </c>
      <c r="I5" s="126" t="s">
        <v>455</v>
      </c>
      <c r="J5" s="126" t="s">
        <v>426</v>
      </c>
      <c r="K5" s="126" t="s">
        <v>454</v>
      </c>
      <c r="L5" s="126" t="s">
        <v>454</v>
      </c>
      <c r="M5" s="126" t="s">
        <v>454</v>
      </c>
      <c r="N5" s="126" t="s">
        <v>454</v>
      </c>
      <c r="O5" s="126" t="s">
        <v>455</v>
      </c>
      <c r="P5" s="126" t="s">
        <v>426</v>
      </c>
      <c r="Q5" s="126" t="s">
        <v>426</v>
      </c>
      <c r="R5" s="126" t="s">
        <v>426</v>
      </c>
      <c r="S5" s="126" t="s">
        <v>426</v>
      </c>
      <c r="T5" s="126"/>
    </row>
    <row r="6" spans="1:20" ht="18" hidden="1" customHeight="1" x14ac:dyDescent="0.25">
      <c r="A6" s="50"/>
      <c r="B6" s="50"/>
      <c r="C6" s="50"/>
      <c r="D6" s="50" t="s">
        <v>7</v>
      </c>
      <c r="E6" s="50">
        <f>+E7+E13+E17+E10</f>
        <v>2090758</v>
      </c>
      <c r="F6" s="50">
        <f t="shared" ref="F6:G6" si="0">+F7+F13+F17+F10</f>
        <v>-89963</v>
      </c>
      <c r="G6" s="50">
        <f t="shared" si="0"/>
        <v>2000785</v>
      </c>
      <c r="H6" s="50">
        <f t="shared" ref="H6:T6" si="1">+H7+H13+H17+H11</f>
        <v>214477.36699999997</v>
      </c>
      <c r="I6" s="50">
        <f t="shared" si="1"/>
        <v>157799.95399999997</v>
      </c>
      <c r="J6" s="50">
        <f t="shared" si="1"/>
        <v>40479.833333333299</v>
      </c>
      <c r="K6" s="50">
        <f t="shared" si="1"/>
        <v>174813.93899999995</v>
      </c>
      <c r="L6" s="50">
        <f t="shared" si="1"/>
        <v>165880.12999999995</v>
      </c>
      <c r="M6" s="50">
        <f t="shared" si="1"/>
        <v>208091.50399999996</v>
      </c>
      <c r="N6" s="50">
        <f t="shared" si="1"/>
        <v>165084.74999999994</v>
      </c>
      <c r="O6" s="50">
        <f t="shared" si="1"/>
        <v>174044.42199999996</v>
      </c>
      <c r="P6" s="50">
        <f t="shared" si="1"/>
        <v>168622.29799999995</v>
      </c>
      <c r="Q6" s="50">
        <f t="shared" si="1"/>
        <v>175869.61699999997</v>
      </c>
      <c r="R6" s="50">
        <f t="shared" si="1"/>
        <v>165800.03299999994</v>
      </c>
      <c r="S6" s="50">
        <f t="shared" si="1"/>
        <v>285793.67800000031</v>
      </c>
      <c r="T6" s="50">
        <f t="shared" si="1"/>
        <v>2096757.5253333333</v>
      </c>
    </row>
    <row r="7" spans="1:20" hidden="1" x14ac:dyDescent="0.25">
      <c r="A7" s="47" t="s">
        <v>427</v>
      </c>
      <c r="B7" s="47"/>
      <c r="C7" s="47"/>
      <c r="D7" s="116" t="s">
        <v>8</v>
      </c>
      <c r="E7" s="49">
        <f>+E8</f>
        <v>10</v>
      </c>
      <c r="F7" s="49">
        <f t="shared" ref="F7:G8" si="2">+F8</f>
        <v>0</v>
      </c>
      <c r="G7" s="49">
        <f t="shared" si="2"/>
        <v>10</v>
      </c>
      <c r="H7" s="127">
        <f t="shared" ref="H7:S8" si="3">+H8</f>
        <v>10</v>
      </c>
      <c r="I7" s="127">
        <f t="shared" si="3"/>
        <v>0</v>
      </c>
      <c r="J7" s="127">
        <f t="shared" si="3"/>
        <v>0</v>
      </c>
      <c r="K7" s="127">
        <f t="shared" si="3"/>
        <v>0</v>
      </c>
      <c r="L7" s="127">
        <f t="shared" si="3"/>
        <v>0</v>
      </c>
      <c r="M7" s="128">
        <f t="shared" si="3"/>
        <v>0</v>
      </c>
      <c r="N7" s="128">
        <f t="shared" si="3"/>
        <v>0</v>
      </c>
      <c r="O7" s="127">
        <f t="shared" si="3"/>
        <v>0</v>
      </c>
      <c r="P7" s="127">
        <f t="shared" si="3"/>
        <v>0</v>
      </c>
      <c r="Q7" s="127">
        <f t="shared" si="3"/>
        <v>0</v>
      </c>
      <c r="R7" s="127">
        <f t="shared" si="3"/>
        <v>0</v>
      </c>
      <c r="S7" s="127">
        <f t="shared" si="3"/>
        <v>0</v>
      </c>
      <c r="T7" s="129">
        <f>SUM(H7:S7)</f>
        <v>10</v>
      </c>
    </row>
    <row r="8" spans="1:20" hidden="1" x14ac:dyDescent="0.25">
      <c r="A8" s="47"/>
      <c r="B8" s="47" t="s">
        <v>16</v>
      </c>
      <c r="C8" s="47"/>
      <c r="D8" s="116" t="s">
        <v>428</v>
      </c>
      <c r="E8" s="49">
        <f>+E9</f>
        <v>10</v>
      </c>
      <c r="F8" s="49">
        <f t="shared" si="2"/>
        <v>0</v>
      </c>
      <c r="G8" s="49">
        <f t="shared" si="2"/>
        <v>10</v>
      </c>
      <c r="H8" s="127">
        <f t="shared" si="3"/>
        <v>10</v>
      </c>
      <c r="I8" s="127">
        <f t="shared" si="3"/>
        <v>0</v>
      </c>
      <c r="J8" s="127">
        <f t="shared" si="3"/>
        <v>0</v>
      </c>
      <c r="K8" s="127">
        <f t="shared" si="3"/>
        <v>0</v>
      </c>
      <c r="L8" s="127">
        <f t="shared" si="3"/>
        <v>0</v>
      </c>
      <c r="M8" s="128">
        <f t="shared" si="3"/>
        <v>0</v>
      </c>
      <c r="N8" s="128">
        <f t="shared" si="3"/>
        <v>0</v>
      </c>
      <c r="O8" s="127">
        <f t="shared" si="3"/>
        <v>0</v>
      </c>
      <c r="P8" s="127">
        <f t="shared" si="3"/>
        <v>0</v>
      </c>
      <c r="Q8" s="127">
        <f t="shared" si="3"/>
        <v>0</v>
      </c>
      <c r="R8" s="127">
        <f t="shared" si="3"/>
        <v>0</v>
      </c>
      <c r="S8" s="127">
        <f t="shared" si="3"/>
        <v>0</v>
      </c>
      <c r="T8" s="129">
        <f t="shared" ref="T8:T17" si="4">SUM(H8:S8)</f>
        <v>10</v>
      </c>
    </row>
    <row r="9" spans="1:20" hidden="1" x14ac:dyDescent="0.25">
      <c r="A9" s="47"/>
      <c r="B9" s="47"/>
      <c r="C9" s="47" t="s">
        <v>429</v>
      </c>
      <c r="D9" s="116" t="s">
        <v>430</v>
      </c>
      <c r="E9" s="49">
        <v>10</v>
      </c>
      <c r="F9" s="49"/>
      <c r="G9" s="49">
        <f>+E9+F9</f>
        <v>10</v>
      </c>
      <c r="H9" s="127">
        <v>10</v>
      </c>
      <c r="I9" s="127"/>
      <c r="J9" s="127"/>
      <c r="K9" s="127"/>
      <c r="L9" s="127"/>
      <c r="M9" s="128"/>
      <c r="N9" s="128"/>
      <c r="O9" s="127"/>
      <c r="P9" s="127"/>
      <c r="Q9" s="127"/>
      <c r="R9" s="127"/>
      <c r="S9" s="127"/>
      <c r="T9" s="129">
        <f t="shared" si="4"/>
        <v>10</v>
      </c>
    </row>
    <row r="10" spans="1:20" hidden="1" x14ac:dyDescent="0.25">
      <c r="A10" s="47" t="s">
        <v>9</v>
      </c>
      <c r="B10" s="48"/>
      <c r="C10" s="46"/>
      <c r="D10" s="45" t="s">
        <v>10</v>
      </c>
      <c r="E10" s="49">
        <f>+E11</f>
        <v>10</v>
      </c>
      <c r="F10" s="49">
        <f t="shared" ref="F10:G11" si="5">+F11</f>
        <v>0</v>
      </c>
      <c r="G10" s="49">
        <f t="shared" si="5"/>
        <v>10</v>
      </c>
      <c r="H10" s="127">
        <f t="shared" ref="H10:S11" si="6">+H11</f>
        <v>10</v>
      </c>
      <c r="I10" s="127">
        <f t="shared" si="6"/>
        <v>0</v>
      </c>
      <c r="J10" s="127">
        <f t="shared" si="6"/>
        <v>0</v>
      </c>
      <c r="K10" s="127">
        <f t="shared" si="6"/>
        <v>0</v>
      </c>
      <c r="L10" s="127">
        <f t="shared" si="6"/>
        <v>0</v>
      </c>
      <c r="M10" s="128">
        <f t="shared" si="6"/>
        <v>0</v>
      </c>
      <c r="N10" s="128">
        <f t="shared" si="6"/>
        <v>0</v>
      </c>
      <c r="O10" s="127">
        <f t="shared" si="6"/>
        <v>0</v>
      </c>
      <c r="P10" s="127">
        <f t="shared" si="6"/>
        <v>0</v>
      </c>
      <c r="Q10" s="127">
        <f t="shared" si="6"/>
        <v>0</v>
      </c>
      <c r="R10" s="127">
        <f t="shared" si="6"/>
        <v>0</v>
      </c>
      <c r="S10" s="127">
        <f t="shared" si="6"/>
        <v>0</v>
      </c>
      <c r="T10" s="129">
        <f t="shared" si="4"/>
        <v>10</v>
      </c>
    </row>
    <row r="11" spans="1:20" hidden="1" x14ac:dyDescent="0.25">
      <c r="A11" s="47"/>
      <c r="B11" s="48" t="s">
        <v>23</v>
      </c>
      <c r="C11" s="46"/>
      <c r="D11" s="45" t="s">
        <v>35</v>
      </c>
      <c r="E11" s="49">
        <f>+E12</f>
        <v>10</v>
      </c>
      <c r="F11" s="49">
        <f t="shared" si="5"/>
        <v>0</v>
      </c>
      <c r="G11" s="49">
        <f t="shared" si="5"/>
        <v>10</v>
      </c>
      <c r="H11" s="127">
        <f t="shared" si="6"/>
        <v>10</v>
      </c>
      <c r="I11" s="127">
        <f t="shared" si="6"/>
        <v>0</v>
      </c>
      <c r="J11" s="127">
        <f t="shared" si="6"/>
        <v>0</v>
      </c>
      <c r="K11" s="127">
        <f t="shared" si="6"/>
        <v>0</v>
      </c>
      <c r="L11" s="127">
        <f t="shared" si="6"/>
        <v>0</v>
      </c>
      <c r="M11" s="128">
        <f t="shared" si="6"/>
        <v>0</v>
      </c>
      <c r="N11" s="128">
        <f t="shared" si="6"/>
        <v>0</v>
      </c>
      <c r="O11" s="127">
        <f t="shared" si="6"/>
        <v>0</v>
      </c>
      <c r="P11" s="127">
        <f t="shared" si="6"/>
        <v>0</v>
      </c>
      <c r="Q11" s="127">
        <f t="shared" si="6"/>
        <v>0</v>
      </c>
      <c r="R11" s="127">
        <f t="shared" si="6"/>
        <v>0</v>
      </c>
      <c r="S11" s="127">
        <f t="shared" si="6"/>
        <v>0</v>
      </c>
      <c r="T11" s="129">
        <f t="shared" si="4"/>
        <v>10</v>
      </c>
    </row>
    <row r="12" spans="1:20" hidden="1" x14ac:dyDescent="0.25">
      <c r="A12" s="47"/>
      <c r="B12" s="48"/>
      <c r="C12" s="46"/>
      <c r="D12" s="45"/>
      <c r="E12" s="49">
        <v>10</v>
      </c>
      <c r="F12" s="49"/>
      <c r="G12" s="49">
        <f>+E12+F12</f>
        <v>10</v>
      </c>
      <c r="H12" s="127">
        <v>10</v>
      </c>
      <c r="I12" s="127"/>
      <c r="J12" s="127"/>
      <c r="K12" s="127"/>
      <c r="L12" s="127"/>
      <c r="M12" s="128"/>
      <c r="N12" s="128"/>
      <c r="O12" s="127"/>
      <c r="P12" s="127"/>
      <c r="Q12" s="127"/>
      <c r="R12" s="127"/>
      <c r="S12" s="127"/>
      <c r="T12" s="129">
        <f t="shared" si="4"/>
        <v>10</v>
      </c>
    </row>
    <row r="13" spans="1:20" hidden="1" x14ac:dyDescent="0.25">
      <c r="A13" s="130">
        <v>9</v>
      </c>
      <c r="B13" s="130"/>
      <c r="C13" s="130"/>
      <c r="D13" s="130" t="s">
        <v>11</v>
      </c>
      <c r="E13" s="49">
        <f>+E14</f>
        <v>2090728</v>
      </c>
      <c r="F13" s="49">
        <f t="shared" ref="F13:G13" si="7">+F14</f>
        <v>-89963</v>
      </c>
      <c r="G13" s="49">
        <f t="shared" si="7"/>
        <v>2000765</v>
      </c>
      <c r="H13" s="127">
        <f>+H14</f>
        <v>214447.36699999997</v>
      </c>
      <c r="I13" s="127">
        <f t="shared" ref="I13:S13" si="8">+I14</f>
        <v>157799.95399999997</v>
      </c>
      <c r="J13" s="127">
        <f t="shared" si="8"/>
        <v>40479.833333333299</v>
      </c>
      <c r="K13" s="127">
        <f t="shared" si="8"/>
        <v>174813.93899999995</v>
      </c>
      <c r="L13" s="127">
        <f t="shared" si="8"/>
        <v>165880.12999999995</v>
      </c>
      <c r="M13" s="127">
        <f t="shared" si="8"/>
        <v>208091.50399999996</v>
      </c>
      <c r="N13" s="127">
        <f t="shared" si="8"/>
        <v>165084.74999999994</v>
      </c>
      <c r="O13" s="127">
        <f t="shared" si="8"/>
        <v>174044.42199999996</v>
      </c>
      <c r="P13" s="127">
        <f t="shared" si="8"/>
        <v>168622.29799999995</v>
      </c>
      <c r="Q13" s="127">
        <f t="shared" si="8"/>
        <v>175869.61699999997</v>
      </c>
      <c r="R13" s="127">
        <f t="shared" si="8"/>
        <v>165800.03299999994</v>
      </c>
      <c r="S13" s="127">
        <f t="shared" si="8"/>
        <v>285793.67800000031</v>
      </c>
      <c r="T13" s="129">
        <f t="shared" si="4"/>
        <v>2096727.5253333333</v>
      </c>
    </row>
    <row r="14" spans="1:20" hidden="1" x14ac:dyDescent="0.25">
      <c r="A14" s="130"/>
      <c r="B14" s="131" t="s">
        <v>23</v>
      </c>
      <c r="C14" s="131"/>
      <c r="D14" s="130" t="s">
        <v>449</v>
      </c>
      <c r="E14" s="130">
        <f>+E15+E16</f>
        <v>2090728</v>
      </c>
      <c r="F14" s="130">
        <f t="shared" ref="F14:G14" si="9">+F15+F16</f>
        <v>-89963</v>
      </c>
      <c r="G14" s="130">
        <f t="shared" si="9"/>
        <v>2000765</v>
      </c>
      <c r="H14" s="132">
        <f>+H15+H16</f>
        <v>214447.36699999997</v>
      </c>
      <c r="I14" s="132">
        <f t="shared" ref="I14:S14" si="10">+I15+I16</f>
        <v>157799.95399999997</v>
      </c>
      <c r="J14" s="132">
        <f t="shared" si="10"/>
        <v>40479.833333333299</v>
      </c>
      <c r="K14" s="132">
        <f t="shared" si="10"/>
        <v>174813.93899999995</v>
      </c>
      <c r="L14" s="132">
        <f t="shared" si="10"/>
        <v>165880.12999999995</v>
      </c>
      <c r="M14" s="132">
        <f t="shared" si="10"/>
        <v>208091.50399999996</v>
      </c>
      <c r="N14" s="132">
        <f t="shared" si="10"/>
        <v>165084.74999999994</v>
      </c>
      <c r="O14" s="132">
        <f t="shared" si="10"/>
        <v>174044.42199999996</v>
      </c>
      <c r="P14" s="132">
        <f t="shared" si="10"/>
        <v>168622.29799999995</v>
      </c>
      <c r="Q14" s="132">
        <f t="shared" si="10"/>
        <v>175869.61699999997</v>
      </c>
      <c r="R14" s="132">
        <f t="shared" si="10"/>
        <v>165800.03299999994</v>
      </c>
      <c r="S14" s="132">
        <f t="shared" si="10"/>
        <v>285793.67800000031</v>
      </c>
      <c r="T14" s="129">
        <f t="shared" si="4"/>
        <v>2096727.5253333333</v>
      </c>
    </row>
    <row r="15" spans="1:20" ht="14.45" hidden="1" customHeight="1" x14ac:dyDescent="0.25">
      <c r="A15" s="130"/>
      <c r="B15" s="130"/>
      <c r="C15" s="131" t="s">
        <v>52</v>
      </c>
      <c r="D15" s="130" t="s">
        <v>12</v>
      </c>
      <c r="E15" s="130">
        <f>+E19</f>
        <v>485758</v>
      </c>
      <c r="F15" s="130">
        <f>+F19</f>
        <v>-9715</v>
      </c>
      <c r="G15" s="130">
        <f>+E15+F15</f>
        <v>476043</v>
      </c>
      <c r="H15" s="132">
        <f>+H19</f>
        <v>40479.833333333299</v>
      </c>
      <c r="I15" s="132">
        <f t="shared" ref="I15:S15" si="11">+I19</f>
        <v>40479.833333333299</v>
      </c>
      <c r="J15" s="132">
        <f t="shared" si="11"/>
        <v>40479.833333333299</v>
      </c>
      <c r="K15" s="132">
        <f t="shared" si="11"/>
        <v>40479.833333333299</v>
      </c>
      <c r="L15" s="132">
        <f t="shared" si="11"/>
        <v>40479.833333333299</v>
      </c>
      <c r="M15" s="132">
        <f t="shared" si="11"/>
        <v>40479.833333333299</v>
      </c>
      <c r="N15" s="132">
        <f t="shared" si="11"/>
        <v>40479.833333333299</v>
      </c>
      <c r="O15" s="132">
        <f t="shared" si="11"/>
        <v>40479.833333333299</v>
      </c>
      <c r="P15" s="132">
        <f t="shared" si="11"/>
        <v>40479.833333333299</v>
      </c>
      <c r="Q15" s="132">
        <f t="shared" si="11"/>
        <v>40479.833333333299</v>
      </c>
      <c r="R15" s="132">
        <f t="shared" si="11"/>
        <v>40479.833333333299</v>
      </c>
      <c r="S15" s="132">
        <f t="shared" si="11"/>
        <v>40479.833333333299</v>
      </c>
      <c r="T15" s="129">
        <f t="shared" si="4"/>
        <v>485757.99999999971</v>
      </c>
    </row>
    <row r="16" spans="1:20" ht="14.45" hidden="1" customHeight="1" x14ac:dyDescent="0.25">
      <c r="A16" s="130"/>
      <c r="B16" s="131"/>
      <c r="C16" s="131" t="s">
        <v>33</v>
      </c>
      <c r="D16" s="130" t="s">
        <v>450</v>
      </c>
      <c r="E16" s="130">
        <f>+E20+E23</f>
        <v>1604970</v>
      </c>
      <c r="F16" s="130">
        <f>+F20+F23</f>
        <v>-80248</v>
      </c>
      <c r="G16" s="130">
        <f>+E16+F16</f>
        <v>1524722</v>
      </c>
      <c r="H16" s="132">
        <f>+H20+H23+H27</f>
        <v>173967.53366666668</v>
      </c>
      <c r="I16" s="132">
        <f t="shared" ref="I16:S16" si="12">+I20+I23</f>
        <v>117320.12066666665</v>
      </c>
      <c r="J16" s="132">
        <f t="shared" si="12"/>
        <v>0</v>
      </c>
      <c r="K16" s="132">
        <f t="shared" si="12"/>
        <v>134334.10566666667</v>
      </c>
      <c r="L16" s="132">
        <f t="shared" si="12"/>
        <v>125400.29666666666</v>
      </c>
      <c r="M16" s="132">
        <f t="shared" si="12"/>
        <v>167611.67066666664</v>
      </c>
      <c r="N16" s="132">
        <f t="shared" si="12"/>
        <v>124604.91666666666</v>
      </c>
      <c r="O16" s="132">
        <f t="shared" si="12"/>
        <v>133564.58866666665</v>
      </c>
      <c r="P16" s="132">
        <f t="shared" si="12"/>
        <v>128142.46466666665</v>
      </c>
      <c r="Q16" s="132">
        <f t="shared" si="12"/>
        <v>135389.78366666666</v>
      </c>
      <c r="R16" s="132">
        <f t="shared" si="12"/>
        <v>125320.19966666665</v>
      </c>
      <c r="S16" s="132">
        <f t="shared" si="12"/>
        <v>245313.84466666699</v>
      </c>
      <c r="T16" s="129">
        <f t="shared" si="4"/>
        <v>1610969.5253333335</v>
      </c>
    </row>
    <row r="17" spans="1:21" hidden="1" x14ac:dyDescent="0.25">
      <c r="A17" s="130">
        <v>15</v>
      </c>
      <c r="B17" s="131"/>
      <c r="C17" s="131"/>
      <c r="D17" s="130" t="s">
        <v>451</v>
      </c>
      <c r="E17" s="130">
        <v>10</v>
      </c>
      <c r="F17" s="130"/>
      <c r="G17" s="130"/>
      <c r="H17" s="132">
        <v>10</v>
      </c>
      <c r="I17" s="132"/>
      <c r="J17" s="132"/>
      <c r="K17" s="132"/>
      <c r="L17" s="132"/>
      <c r="M17" s="133"/>
      <c r="N17" s="133"/>
      <c r="O17" s="132"/>
      <c r="P17" s="132"/>
      <c r="Q17" s="132"/>
      <c r="R17" s="132"/>
      <c r="S17" s="132"/>
      <c r="T17" s="129">
        <f t="shared" si="4"/>
        <v>10</v>
      </c>
    </row>
    <row r="18" spans="1:21" ht="18" customHeight="1" x14ac:dyDescent="0.25">
      <c r="A18" s="50"/>
      <c r="B18" s="50"/>
      <c r="C18" s="50"/>
      <c r="D18" s="50" t="s">
        <v>13</v>
      </c>
      <c r="E18" s="50">
        <f t="shared" ref="E18:T18" si="13">E19+E20+E27+E23+E21</f>
        <v>2090758</v>
      </c>
      <c r="F18" s="50">
        <f t="shared" si="13"/>
        <v>-89963</v>
      </c>
      <c r="G18" s="50">
        <f t="shared" si="13"/>
        <v>2000785</v>
      </c>
      <c r="H18" s="50">
        <f t="shared" si="13"/>
        <v>214467.36699999997</v>
      </c>
      <c r="I18" s="50">
        <f t="shared" si="13"/>
        <v>157799.95399999997</v>
      </c>
      <c r="J18" s="50">
        <f t="shared" si="13"/>
        <v>40479.833333333299</v>
      </c>
      <c r="K18" s="50">
        <f t="shared" si="13"/>
        <v>174813.93899999995</v>
      </c>
      <c r="L18" s="50">
        <f t="shared" si="13"/>
        <v>165880.12999999995</v>
      </c>
      <c r="M18" s="50">
        <f t="shared" si="13"/>
        <v>208091.50399999996</v>
      </c>
      <c r="N18" s="50">
        <f t="shared" si="13"/>
        <v>165084.74999999994</v>
      </c>
      <c r="O18" s="50">
        <f t="shared" si="13"/>
        <v>174044.42199999996</v>
      </c>
      <c r="P18" s="50">
        <f t="shared" si="13"/>
        <v>168622.29799999995</v>
      </c>
      <c r="Q18" s="50">
        <f t="shared" si="13"/>
        <v>175869.61699999997</v>
      </c>
      <c r="R18" s="50">
        <f t="shared" si="13"/>
        <v>165800.03299999994</v>
      </c>
      <c r="S18" s="50">
        <f t="shared" si="13"/>
        <v>285793.67800000031</v>
      </c>
      <c r="T18" s="50">
        <f t="shared" si="13"/>
        <v>2096747.5253333333</v>
      </c>
    </row>
    <row r="19" spans="1:21" x14ac:dyDescent="0.25">
      <c r="A19" s="130">
        <v>21</v>
      </c>
      <c r="B19" s="130"/>
      <c r="C19" s="130"/>
      <c r="D19" s="49" t="s">
        <v>14</v>
      </c>
      <c r="E19" s="49">
        <v>485758</v>
      </c>
      <c r="F19" s="49">
        <v>-9715</v>
      </c>
      <c r="G19" s="49">
        <f>+E19+F19</f>
        <v>476043</v>
      </c>
      <c r="H19" s="132">
        <v>40479.833333333299</v>
      </c>
      <c r="I19" s="132">
        <v>40479.833333333299</v>
      </c>
      <c r="J19" s="132">
        <v>40479.833333333299</v>
      </c>
      <c r="K19" s="132">
        <v>40479.833333333299</v>
      </c>
      <c r="L19" s="132">
        <v>40479.833333333299</v>
      </c>
      <c r="M19" s="132">
        <v>40479.833333333299</v>
      </c>
      <c r="N19" s="132">
        <v>40479.833333333299</v>
      </c>
      <c r="O19" s="132">
        <v>40479.833333333299</v>
      </c>
      <c r="P19" s="132">
        <v>40479.833333333299</v>
      </c>
      <c r="Q19" s="132">
        <v>40479.833333333299</v>
      </c>
      <c r="R19" s="132">
        <v>40479.833333333299</v>
      </c>
      <c r="S19" s="132">
        <v>40479.833333333299</v>
      </c>
      <c r="T19" s="134">
        <f>SUM(H19:S19)</f>
        <v>485757.99999999971</v>
      </c>
    </row>
    <row r="20" spans="1:21" x14ac:dyDescent="0.25">
      <c r="A20" s="130">
        <v>22</v>
      </c>
      <c r="B20" s="130"/>
      <c r="C20" s="130"/>
      <c r="D20" s="49" t="s">
        <v>15</v>
      </c>
      <c r="E20" s="49">
        <v>1562928</v>
      </c>
      <c r="F20" s="49">
        <v>-78146</v>
      </c>
      <c r="G20" s="49">
        <f>+E20+F20</f>
        <v>1484782</v>
      </c>
      <c r="H20" s="132">
        <v>167967.53366666668</v>
      </c>
      <c r="I20" s="132">
        <v>117320.12066666665</v>
      </c>
      <c r="J20" s="132">
        <v>0</v>
      </c>
      <c r="K20" s="132">
        <v>134334.10566666667</v>
      </c>
      <c r="L20" s="132">
        <v>125400.29666666666</v>
      </c>
      <c r="M20" s="132">
        <v>125569.67066666666</v>
      </c>
      <c r="N20" s="132">
        <v>124604.91666666666</v>
      </c>
      <c r="O20" s="132">
        <v>133564.58866666665</v>
      </c>
      <c r="P20" s="132">
        <v>128142.46466666665</v>
      </c>
      <c r="Q20" s="132">
        <v>135389.78366666666</v>
      </c>
      <c r="R20" s="132">
        <v>125320.19966666665</v>
      </c>
      <c r="S20" s="132">
        <f>130035.844666667-1283+116561</f>
        <v>245313.84466666699</v>
      </c>
      <c r="T20" s="134">
        <f t="shared" ref="T20:T27" si="14">SUM(H20:S20)</f>
        <v>1562927.5253333335</v>
      </c>
    </row>
    <row r="21" spans="1:21" x14ac:dyDescent="0.25">
      <c r="A21" s="130">
        <v>25</v>
      </c>
      <c r="B21" s="130"/>
      <c r="C21" s="130"/>
      <c r="D21" s="49" t="s">
        <v>452</v>
      </c>
      <c r="E21" s="49">
        <f>+E22</f>
        <v>20</v>
      </c>
      <c r="F21" s="49">
        <f t="shared" ref="F21:G21" si="15">+F22</f>
        <v>0</v>
      </c>
      <c r="G21" s="49">
        <f t="shared" si="15"/>
        <v>20</v>
      </c>
      <c r="H21" s="132">
        <f>+H22</f>
        <v>20</v>
      </c>
      <c r="I21" s="132">
        <f t="shared" ref="I21:S21" si="16">+I22</f>
        <v>0</v>
      </c>
      <c r="J21" s="132">
        <f t="shared" si="16"/>
        <v>0</v>
      </c>
      <c r="K21" s="132">
        <f t="shared" si="16"/>
        <v>0</v>
      </c>
      <c r="L21" s="132">
        <f t="shared" si="16"/>
        <v>0</v>
      </c>
      <c r="M21" s="132">
        <f t="shared" si="16"/>
        <v>0</v>
      </c>
      <c r="N21" s="132">
        <f t="shared" si="16"/>
        <v>0</v>
      </c>
      <c r="O21" s="132">
        <f t="shared" si="16"/>
        <v>0</v>
      </c>
      <c r="P21" s="132">
        <f t="shared" si="16"/>
        <v>0</v>
      </c>
      <c r="Q21" s="132">
        <f t="shared" si="16"/>
        <v>0</v>
      </c>
      <c r="R21" s="132">
        <f t="shared" si="16"/>
        <v>0</v>
      </c>
      <c r="S21" s="132">
        <f t="shared" si="16"/>
        <v>0</v>
      </c>
      <c r="T21" s="134">
        <f t="shared" si="14"/>
        <v>20</v>
      </c>
    </row>
    <row r="22" spans="1:21" x14ac:dyDescent="0.25">
      <c r="A22" s="130"/>
      <c r="B22" s="130">
        <v>99</v>
      </c>
      <c r="C22" s="130"/>
      <c r="D22" s="49" t="s">
        <v>453</v>
      </c>
      <c r="E22" s="49">
        <v>20</v>
      </c>
      <c r="F22" s="49"/>
      <c r="G22" s="49">
        <f>+E22+F22</f>
        <v>20</v>
      </c>
      <c r="H22" s="132">
        <v>20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4">
        <f t="shared" si="14"/>
        <v>20</v>
      </c>
    </row>
    <row r="23" spans="1:21" x14ac:dyDescent="0.25">
      <c r="A23" s="49">
        <v>29</v>
      </c>
      <c r="B23" s="49"/>
      <c r="C23" s="49"/>
      <c r="D23" s="49" t="s">
        <v>20</v>
      </c>
      <c r="E23" s="49">
        <f>+E24++E25+E26</f>
        <v>42042</v>
      </c>
      <c r="F23" s="49">
        <f t="shared" ref="F23:G23" si="17">+F24++F25+F26</f>
        <v>-2102</v>
      </c>
      <c r="G23" s="49">
        <f t="shared" si="17"/>
        <v>39940</v>
      </c>
      <c r="H23" s="132">
        <f>+H24+H25+H26</f>
        <v>0</v>
      </c>
      <c r="I23" s="132">
        <f>+I24+I25+I26</f>
        <v>0</v>
      </c>
      <c r="J23" s="132">
        <f t="shared" ref="J23:S23" si="18">+J24+J25+J26</f>
        <v>0</v>
      </c>
      <c r="K23" s="132">
        <f t="shared" si="18"/>
        <v>0</v>
      </c>
      <c r="L23" s="132">
        <f t="shared" si="18"/>
        <v>0</v>
      </c>
      <c r="M23" s="132">
        <f t="shared" si="18"/>
        <v>42042</v>
      </c>
      <c r="N23" s="132">
        <f t="shared" si="18"/>
        <v>0</v>
      </c>
      <c r="O23" s="132">
        <f t="shared" si="18"/>
        <v>0</v>
      </c>
      <c r="P23" s="132">
        <f t="shared" si="18"/>
        <v>0</v>
      </c>
      <c r="Q23" s="132">
        <f t="shared" si="18"/>
        <v>0</v>
      </c>
      <c r="R23" s="132">
        <f t="shared" si="18"/>
        <v>0</v>
      </c>
      <c r="S23" s="132">
        <f t="shared" si="18"/>
        <v>0</v>
      </c>
      <c r="T23" s="134">
        <f t="shared" si="14"/>
        <v>42042</v>
      </c>
    </row>
    <row r="24" spans="1:21" x14ac:dyDescent="0.25">
      <c r="A24" s="49"/>
      <c r="B24" s="131" t="s">
        <v>60</v>
      </c>
      <c r="C24" s="49"/>
      <c r="D24" s="45" t="s">
        <v>442</v>
      </c>
      <c r="E24" s="49">
        <v>10099</v>
      </c>
      <c r="F24" s="49"/>
      <c r="G24" s="49">
        <f>+E24+F24</f>
        <v>10099</v>
      </c>
      <c r="H24" s="127"/>
      <c r="I24" s="127"/>
      <c r="J24" s="127"/>
      <c r="K24" s="127"/>
      <c r="L24" s="127"/>
      <c r="M24" s="128">
        <v>10099</v>
      </c>
      <c r="N24" s="128"/>
      <c r="O24" s="127"/>
      <c r="P24" s="127"/>
      <c r="Q24" s="127"/>
      <c r="R24" s="127"/>
      <c r="S24" s="132"/>
      <c r="T24" s="134">
        <f t="shared" si="14"/>
        <v>10099</v>
      </c>
    </row>
    <row r="25" spans="1:21" x14ac:dyDescent="0.25">
      <c r="A25" s="49"/>
      <c r="B25" s="131" t="s">
        <v>427</v>
      </c>
      <c r="C25" s="49"/>
      <c r="D25" s="45" t="s">
        <v>444</v>
      </c>
      <c r="E25" s="49">
        <v>15684</v>
      </c>
      <c r="F25" s="49"/>
      <c r="G25" s="49">
        <f t="shared" ref="G25:G26" si="19">+E25+F25</f>
        <v>15684</v>
      </c>
      <c r="H25" s="127"/>
      <c r="I25" s="127"/>
      <c r="J25" s="127"/>
      <c r="K25" s="127"/>
      <c r="L25" s="127"/>
      <c r="M25" s="128">
        <v>15684</v>
      </c>
      <c r="N25" s="128"/>
      <c r="O25" s="127"/>
      <c r="P25" s="127"/>
      <c r="Q25" s="127"/>
      <c r="R25" s="127"/>
      <c r="S25" s="132"/>
      <c r="T25" s="134">
        <f t="shared" si="14"/>
        <v>15684</v>
      </c>
    </row>
    <row r="26" spans="1:21" x14ac:dyDescent="0.25">
      <c r="A26" s="49"/>
      <c r="B26" s="131" t="s">
        <v>443</v>
      </c>
      <c r="C26" s="49"/>
      <c r="D26" s="45" t="s">
        <v>445</v>
      </c>
      <c r="E26" s="49">
        <v>16259</v>
      </c>
      <c r="F26" s="49">
        <v>-2102</v>
      </c>
      <c r="G26" s="49">
        <f t="shared" si="19"/>
        <v>14157</v>
      </c>
      <c r="H26" s="127"/>
      <c r="I26" s="127"/>
      <c r="J26" s="127"/>
      <c r="K26" s="127"/>
      <c r="L26" s="127"/>
      <c r="M26" s="128">
        <v>16259</v>
      </c>
      <c r="N26" s="128"/>
      <c r="O26" s="127"/>
      <c r="P26" s="127"/>
      <c r="Q26" s="127"/>
      <c r="R26" s="127"/>
      <c r="S26" s="132"/>
      <c r="T26" s="134">
        <f t="shared" si="14"/>
        <v>16259</v>
      </c>
    </row>
    <row r="27" spans="1:21" x14ac:dyDescent="0.25">
      <c r="A27" s="49">
        <v>34</v>
      </c>
      <c r="B27" s="135" t="s">
        <v>62</v>
      </c>
      <c r="C27" s="49"/>
      <c r="D27" s="49" t="s">
        <v>53</v>
      </c>
      <c r="E27" s="49">
        <v>10</v>
      </c>
      <c r="F27" s="49"/>
      <c r="G27" s="49"/>
      <c r="H27" s="127">
        <v>6000</v>
      </c>
      <c r="I27" s="127"/>
      <c r="J27" s="127"/>
      <c r="K27" s="127"/>
      <c r="L27" s="127"/>
      <c r="M27" s="133"/>
      <c r="N27" s="133"/>
      <c r="O27" s="127"/>
      <c r="P27" s="127"/>
      <c r="Q27" s="127"/>
      <c r="R27" s="127"/>
      <c r="S27" s="132"/>
      <c r="T27" s="134">
        <f t="shared" si="14"/>
        <v>6000</v>
      </c>
    </row>
    <row r="28" spans="1:21" x14ac:dyDescent="0.25">
      <c r="A28" s="136"/>
      <c r="B28" s="137"/>
      <c r="C28" s="136"/>
      <c r="D28" s="136"/>
      <c r="E28" s="136"/>
      <c r="F28" s="136"/>
      <c r="G28" s="136"/>
      <c r="H28" s="136"/>
      <c r="I28" s="136">
        <f t="shared" ref="I28:R28" si="20">+I6-I18</f>
        <v>0</v>
      </c>
      <c r="J28" s="136">
        <f t="shared" si="20"/>
        <v>0</v>
      </c>
      <c r="K28" s="136">
        <f t="shared" si="20"/>
        <v>0</v>
      </c>
      <c r="L28" s="136">
        <f t="shared" si="20"/>
        <v>0</v>
      </c>
      <c r="M28" s="136">
        <f t="shared" si="20"/>
        <v>0</v>
      </c>
      <c r="N28" s="136">
        <f t="shared" si="20"/>
        <v>0</v>
      </c>
      <c r="O28" s="136">
        <f t="shared" si="20"/>
        <v>0</v>
      </c>
      <c r="P28" s="136">
        <f t="shared" si="20"/>
        <v>0</v>
      </c>
      <c r="Q28" s="136">
        <f t="shared" si="20"/>
        <v>0</v>
      </c>
      <c r="R28" s="136">
        <f t="shared" si="20"/>
        <v>0</v>
      </c>
      <c r="S28" s="136"/>
      <c r="T28" s="136"/>
      <c r="U28" s="136"/>
    </row>
    <row r="29" spans="1:21" x14ac:dyDescent="0.2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8"/>
    </row>
    <row r="32" spans="1:21" x14ac:dyDescent="0.25">
      <c r="H32" s="49"/>
    </row>
  </sheetData>
  <mergeCells count="1">
    <mergeCell ref="A2:N2"/>
  </mergeCells>
  <pageMargins left="0.23622047244094491" right="0.23622047244094491" top="0.74803149606299213" bottom="0.74803149606299213" header="0.31496062992125984" footer="0.31496062992125984"/>
  <pageSetup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0100-34E7-4E1E-AAE8-E92BC974DE8C}">
  <dimension ref="B1:O41"/>
  <sheetViews>
    <sheetView workbookViewId="0">
      <selection activeCell="D8" sqref="D8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</cols>
  <sheetData>
    <row r="1" spans="2:15" s="2" customFormat="1" ht="21" x14ac:dyDescent="0.35">
      <c r="C1" s="3" t="s">
        <v>51</v>
      </c>
    </row>
    <row r="2" spans="2:15" ht="29.25" customHeight="1" x14ac:dyDescent="0.25">
      <c r="C2" s="4" t="str">
        <f>+'Caja Diaria SPD  '!C2</f>
        <v>MES ABRIL 2025</v>
      </c>
    </row>
    <row r="3" spans="2:15" x14ac:dyDescent="0.25">
      <c r="C3" s="5"/>
    </row>
    <row r="4" spans="2:15" ht="15.75" x14ac:dyDescent="0.25">
      <c r="B4" s="1"/>
      <c r="C4" s="145" t="s">
        <v>38</v>
      </c>
      <c r="D4" s="146"/>
      <c r="E4" s="146"/>
      <c r="F4" s="146"/>
      <c r="G4" s="146"/>
      <c r="H4" s="146"/>
      <c r="I4" s="146"/>
      <c r="J4" s="146"/>
      <c r="K4" s="146"/>
      <c r="L4" s="147"/>
    </row>
    <row r="5" spans="2:15" x14ac:dyDescent="0.25">
      <c r="C5" s="148" t="s">
        <v>39</v>
      </c>
      <c r="D5" s="148"/>
      <c r="E5" s="148" t="s">
        <v>40</v>
      </c>
      <c r="F5" s="148"/>
      <c r="G5" s="148" t="s">
        <v>41</v>
      </c>
      <c r="H5" s="148"/>
      <c r="I5" s="148" t="s">
        <v>42</v>
      </c>
      <c r="J5" s="148"/>
      <c r="K5" s="148" t="s">
        <v>43</v>
      </c>
      <c r="L5" s="148"/>
    </row>
    <row r="6" spans="2:15" x14ac:dyDescent="0.25">
      <c r="C6" s="6" t="s">
        <v>44</v>
      </c>
      <c r="D6" s="6" t="s">
        <v>45</v>
      </c>
      <c r="E6" s="6" t="s">
        <v>44</v>
      </c>
      <c r="F6" s="6" t="s">
        <v>45</v>
      </c>
      <c r="G6" s="6" t="s">
        <v>44</v>
      </c>
      <c r="H6" s="6" t="s">
        <v>45</v>
      </c>
      <c r="I6" s="6" t="s">
        <v>44</v>
      </c>
      <c r="J6" s="6" t="s">
        <v>45</v>
      </c>
      <c r="K6" s="6" t="s">
        <v>44</v>
      </c>
      <c r="L6" s="6" t="s">
        <v>45</v>
      </c>
    </row>
    <row r="7" spans="2:15" ht="15.75" x14ac:dyDescent="0.25">
      <c r="C7" s="8">
        <v>1</v>
      </c>
      <c r="D7" s="12">
        <f>+'FLujo de Caja 2024CAVD'!K20</f>
        <v>134334.10566666667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5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/>
      <c r="K8" s="15">
        <v>30</v>
      </c>
      <c r="L8" s="16"/>
      <c r="N8" s="17"/>
      <c r="O8" s="18"/>
    </row>
    <row r="9" spans="2:15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5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5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5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5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5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5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5" ht="15.75" thickBot="1" x14ac:dyDescent="0.3">
      <c r="D16" s="25"/>
      <c r="E16" s="25"/>
      <c r="F16" s="25"/>
      <c r="G16" s="25"/>
      <c r="H16" s="25"/>
      <c r="I16" s="25"/>
      <c r="J16" s="25"/>
      <c r="L16" s="26"/>
    </row>
    <row r="17" spans="3:15" ht="15.75" thickBot="1" x14ac:dyDescent="0.3">
      <c r="D17" s="25"/>
      <c r="E17" s="25"/>
      <c r="F17" s="25"/>
      <c r="G17" s="25"/>
      <c r="H17" s="149" t="s">
        <v>46</v>
      </c>
      <c r="I17" s="150"/>
      <c r="J17" s="27">
        <f>+D7</f>
        <v>134334.10566666667</v>
      </c>
      <c r="L17" s="28"/>
    </row>
    <row r="19" spans="3:15" x14ac:dyDescent="0.25">
      <c r="C19" s="145" t="s">
        <v>47</v>
      </c>
      <c r="D19" s="146"/>
      <c r="E19" s="146"/>
      <c r="F19" s="146"/>
      <c r="G19" s="146"/>
      <c r="H19" s="146"/>
      <c r="I19" s="146"/>
      <c r="J19" s="146"/>
      <c r="K19" s="146"/>
      <c r="L19" s="147"/>
    </row>
    <row r="20" spans="3:15" x14ac:dyDescent="0.25">
      <c r="C20" s="148" t="s">
        <v>39</v>
      </c>
      <c r="D20" s="148"/>
      <c r="E20" s="148" t="s">
        <v>40</v>
      </c>
      <c r="F20" s="148"/>
      <c r="G20" s="148" t="s">
        <v>41</v>
      </c>
      <c r="H20" s="148"/>
      <c r="I20" s="148" t="s">
        <v>42</v>
      </c>
      <c r="J20" s="148"/>
      <c r="K20" s="148" t="s">
        <v>43</v>
      </c>
      <c r="L20" s="148"/>
    </row>
    <row r="21" spans="3:15" x14ac:dyDescent="0.25">
      <c r="C21" s="6" t="s">
        <v>44</v>
      </c>
      <c r="D21" s="7" t="s">
        <v>45</v>
      </c>
      <c r="E21" s="6" t="s">
        <v>44</v>
      </c>
      <c r="F21" s="6" t="s">
        <v>45</v>
      </c>
      <c r="G21" s="6" t="s">
        <v>44</v>
      </c>
      <c r="H21" s="6" t="s">
        <v>45</v>
      </c>
      <c r="I21" s="6" t="s">
        <v>44</v>
      </c>
      <c r="J21" s="6" t="s">
        <v>45</v>
      </c>
      <c r="K21" s="6" t="s">
        <v>44</v>
      </c>
      <c r="L21" s="6" t="s">
        <v>45</v>
      </c>
    </row>
    <row r="22" spans="3:15" ht="15.75" x14ac:dyDescent="0.25">
      <c r="C22" s="8">
        <v>1</v>
      </c>
      <c r="D22" s="9"/>
      <c r="E22" s="10">
        <v>8</v>
      </c>
      <c r="F22" s="9"/>
      <c r="G22" s="11">
        <v>15</v>
      </c>
      <c r="H22" s="12"/>
      <c r="I22" s="11">
        <v>22</v>
      </c>
      <c r="J22" s="9"/>
      <c r="K22" s="11">
        <v>29</v>
      </c>
      <c r="L22" s="13"/>
    </row>
    <row r="23" spans="3:15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5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2">
        <f>+'FLujo de Caja 2024CAVD'!H15</f>
        <v>40479.833333333299</v>
      </c>
      <c r="K24" s="15">
        <v>31</v>
      </c>
      <c r="L24" s="16"/>
      <c r="O24" s="18"/>
    </row>
    <row r="25" spans="3:15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2"/>
      <c r="K25" s="15"/>
      <c r="L25" s="16"/>
      <c r="O25" s="18"/>
    </row>
    <row r="26" spans="3:15" x14ac:dyDescent="0.25">
      <c r="C26" s="14">
        <v>5</v>
      </c>
      <c r="D26" s="30"/>
      <c r="E26" s="15">
        <v>12</v>
      </c>
      <c r="F26" s="12"/>
      <c r="G26" s="15">
        <v>19</v>
      </c>
      <c r="H26" s="12"/>
      <c r="I26" s="15">
        <v>26</v>
      </c>
      <c r="J26" s="12"/>
      <c r="K26" s="15"/>
      <c r="L26" s="16"/>
      <c r="O26" s="18"/>
    </row>
    <row r="27" spans="3:15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2"/>
      <c r="K27" s="15"/>
      <c r="L27" s="16"/>
    </row>
    <row r="28" spans="3:15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2"/>
      <c r="K28" s="15"/>
      <c r="L28" s="16"/>
    </row>
    <row r="29" spans="3:15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5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5" ht="15.75" thickBot="1" x14ac:dyDescent="0.3">
      <c r="D31" s="31"/>
      <c r="E31" s="31"/>
      <c r="F31" s="31"/>
      <c r="G31" s="31"/>
      <c r="H31" s="31"/>
      <c r="I31" s="31"/>
      <c r="J31" s="31"/>
    </row>
    <row r="32" spans="3:15" ht="15.75" thickBot="1" x14ac:dyDescent="0.3">
      <c r="H32" s="149" t="s">
        <v>48</v>
      </c>
      <c r="I32" s="150"/>
      <c r="J32" s="27">
        <f>+D22+D23+D24+D25+D26+D27+D28+F22+F23+F24+F25+F26+F27+F28+H22+H23+H24+H25+H26+H27+H28+J22+J23+J24+J25+J26+J27+J28+L22+L23+L24</f>
        <v>40479.833333333299</v>
      </c>
      <c r="L32" s="32"/>
      <c r="N32" s="33"/>
    </row>
    <row r="33" spans="2:12" ht="15.75" thickBot="1" x14ac:dyDescent="0.3">
      <c r="H33" s="151"/>
      <c r="I33" s="152"/>
    </row>
    <row r="34" spans="2:12" ht="15.75" thickBot="1" x14ac:dyDescent="0.3">
      <c r="H34" s="149" t="s">
        <v>49</v>
      </c>
      <c r="I34" s="150"/>
      <c r="J34" s="27">
        <f>+J17+J32</f>
        <v>174813.93899999995</v>
      </c>
      <c r="K34" s="34"/>
      <c r="L34" s="25"/>
    </row>
    <row r="35" spans="2:12" x14ac:dyDescent="0.25">
      <c r="B35" s="35" t="s">
        <v>50</v>
      </c>
    </row>
    <row r="36" spans="2:12" x14ac:dyDescent="0.25">
      <c r="B36" s="36"/>
      <c r="C36" s="153"/>
      <c r="D36" s="153"/>
      <c r="E36" s="153"/>
      <c r="F36" s="153"/>
      <c r="G36" s="153"/>
      <c r="H36" s="153"/>
      <c r="I36" s="153"/>
      <c r="J36" s="153"/>
      <c r="K36" s="153"/>
      <c r="L36" s="154"/>
    </row>
    <row r="37" spans="2:12" x14ac:dyDescent="0.25">
      <c r="B37" s="37"/>
      <c r="C37" s="155"/>
      <c r="D37" s="155"/>
      <c r="E37" s="155"/>
      <c r="F37" s="155"/>
      <c r="G37" s="155"/>
      <c r="H37" s="155"/>
      <c r="I37" s="155"/>
      <c r="J37" s="155"/>
      <c r="K37" s="155"/>
      <c r="L37" s="156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  <mergeCell ref="C4:L4"/>
    <mergeCell ref="C5:D5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9BF3-609E-4343-8B0D-A910B0B1457C}">
  <dimension ref="B2:K28"/>
  <sheetViews>
    <sheetView workbookViewId="0">
      <selection activeCell="O17" sqref="O17"/>
    </sheetView>
  </sheetViews>
  <sheetFormatPr baseColWidth="10" defaultRowHeight="15" x14ac:dyDescent="0.25"/>
  <cols>
    <col min="2" max="2" width="42" bestFit="1" customWidth="1"/>
    <col min="3" max="3" width="19.42578125" bestFit="1" customWidth="1"/>
    <col min="4" max="4" width="21.85546875" style="18" bestFit="1" customWidth="1"/>
    <col min="5" max="9" width="11.42578125" style="18"/>
  </cols>
  <sheetData>
    <row r="2" spans="2:11" x14ac:dyDescent="0.25">
      <c r="C2" s="44" t="s">
        <v>433</v>
      </c>
      <c r="D2" s="44" t="s">
        <v>434</v>
      </c>
      <c r="E2" s="119" t="s">
        <v>435</v>
      </c>
      <c r="F2" s="119" t="s">
        <v>436</v>
      </c>
      <c r="G2" s="119" t="s">
        <v>437</v>
      </c>
      <c r="H2" s="119" t="s">
        <v>438</v>
      </c>
      <c r="I2" s="119" t="s">
        <v>439</v>
      </c>
      <c r="J2" s="120" t="s">
        <v>440</v>
      </c>
    </row>
    <row r="3" spans="2:11" x14ac:dyDescent="0.25">
      <c r="E3" s="118"/>
      <c r="F3" s="118"/>
      <c r="G3" s="118"/>
      <c r="H3" s="118"/>
      <c r="I3" s="118"/>
    </row>
    <row r="4" spans="2:11" x14ac:dyDescent="0.25">
      <c r="B4" s="44" t="s">
        <v>13</v>
      </c>
      <c r="C4" s="121">
        <f>C5+C6+C8+C20+C21+C24+C19+C7</f>
        <v>45949727</v>
      </c>
      <c r="D4" s="121">
        <f>D5+D6+D8+D20+D21+D24+D19+D7</f>
        <v>25331154</v>
      </c>
      <c r="E4" s="122"/>
      <c r="F4" s="122"/>
      <c r="G4" s="122"/>
      <c r="H4" s="122"/>
      <c r="I4" s="122"/>
      <c r="J4" s="52"/>
    </row>
    <row r="5" spans="2:11" x14ac:dyDescent="0.25">
      <c r="B5" s="46" t="s">
        <v>14</v>
      </c>
      <c r="C5" s="121">
        <v>13989908</v>
      </c>
      <c r="D5" s="121">
        <v>8167125</v>
      </c>
      <c r="E5" s="121">
        <v>980000</v>
      </c>
      <c r="F5" s="121">
        <v>1666226</v>
      </c>
      <c r="G5" s="121">
        <v>980000</v>
      </c>
      <c r="H5" s="121">
        <v>980000</v>
      </c>
      <c r="I5" s="121">
        <v>1666226</v>
      </c>
      <c r="J5" s="123">
        <f>+D5+E5+F5+G5+H5+I5</f>
        <v>14439577</v>
      </c>
      <c r="K5" s="28"/>
    </row>
    <row r="6" spans="2:11" x14ac:dyDescent="0.25">
      <c r="B6" s="46" t="s">
        <v>15</v>
      </c>
      <c r="C6" s="121">
        <v>1450108</v>
      </c>
      <c r="D6" s="121">
        <v>550759</v>
      </c>
      <c r="E6" s="121">
        <v>120842</v>
      </c>
      <c r="F6" s="121">
        <v>120841</v>
      </c>
      <c r="G6" s="121">
        <v>120841</v>
      </c>
      <c r="H6" s="121">
        <v>120842</v>
      </c>
      <c r="I6" s="121">
        <f>120842+378845-83704</f>
        <v>415983</v>
      </c>
      <c r="J6" s="123">
        <f t="shared" ref="J6:J25" si="0">+D6+E6+F6+G6+H6+I6</f>
        <v>1450108</v>
      </c>
    </row>
    <row r="7" spans="2:11" x14ac:dyDescent="0.25">
      <c r="B7" s="46" t="s">
        <v>432</v>
      </c>
      <c r="C7" s="121">
        <v>4825</v>
      </c>
      <c r="D7" s="121">
        <v>4825</v>
      </c>
      <c r="E7" s="121"/>
      <c r="F7" s="121"/>
      <c r="G7" s="121"/>
      <c r="H7" s="121"/>
      <c r="I7" s="121"/>
      <c r="J7" s="123">
        <f t="shared" si="0"/>
        <v>4825</v>
      </c>
    </row>
    <row r="8" spans="2:11" x14ac:dyDescent="0.25">
      <c r="B8" s="46" t="s">
        <v>8</v>
      </c>
      <c r="C8" s="121">
        <f t="shared" ref="C8:I8" si="1">+C9+C11</f>
        <v>29499577</v>
      </c>
      <c r="D8" s="121">
        <f t="shared" si="1"/>
        <v>15958198</v>
      </c>
      <c r="E8" s="121">
        <f t="shared" si="1"/>
        <v>2586025.5</v>
      </c>
      <c r="F8" s="121">
        <f t="shared" si="1"/>
        <v>3092489.5</v>
      </c>
      <c r="G8" s="121">
        <f t="shared" si="1"/>
        <v>4371920.5</v>
      </c>
      <c r="H8" s="121">
        <f t="shared" si="1"/>
        <v>1746615.5</v>
      </c>
      <c r="I8" s="121">
        <f t="shared" si="1"/>
        <v>1744328.5</v>
      </c>
      <c r="J8" s="123">
        <f t="shared" si="0"/>
        <v>29499577.5</v>
      </c>
    </row>
    <row r="9" spans="2:11" x14ac:dyDescent="0.25">
      <c r="B9" s="46" t="s">
        <v>17</v>
      </c>
      <c r="C9" s="121">
        <f t="shared" ref="C9:I9" si="2">SUM(C10:C10)</f>
        <v>1071257</v>
      </c>
      <c r="D9" s="121">
        <f t="shared" si="2"/>
        <v>1071257</v>
      </c>
      <c r="E9" s="121">
        <f t="shared" si="2"/>
        <v>0</v>
      </c>
      <c r="F9" s="121">
        <f t="shared" si="2"/>
        <v>0</v>
      </c>
      <c r="G9" s="121">
        <f t="shared" si="2"/>
        <v>0</v>
      </c>
      <c r="H9" s="121">
        <f t="shared" si="2"/>
        <v>0</v>
      </c>
      <c r="I9" s="121">
        <f t="shared" si="2"/>
        <v>0</v>
      </c>
      <c r="J9" s="123">
        <f t="shared" si="0"/>
        <v>1071257</v>
      </c>
    </row>
    <row r="10" spans="2:11" x14ac:dyDescent="0.25">
      <c r="B10" s="45" t="s">
        <v>34</v>
      </c>
      <c r="C10" s="121">
        <v>1071257</v>
      </c>
      <c r="D10" s="121">
        <v>1071257</v>
      </c>
      <c r="E10" s="121">
        <v>0</v>
      </c>
      <c r="F10" s="121">
        <v>0</v>
      </c>
      <c r="G10" s="121">
        <v>0</v>
      </c>
      <c r="H10" s="121">
        <v>0</v>
      </c>
      <c r="I10" s="121"/>
      <c r="J10" s="123">
        <f t="shared" si="0"/>
        <v>1071257</v>
      </c>
    </row>
    <row r="11" spans="2:11" x14ac:dyDescent="0.25">
      <c r="B11" s="46" t="s">
        <v>18</v>
      </c>
      <c r="C11" s="121">
        <f t="shared" ref="C11:I11" si="3">SUM(C12:C18)</f>
        <v>28428320</v>
      </c>
      <c r="D11" s="121">
        <f t="shared" si="3"/>
        <v>14886941</v>
      </c>
      <c r="E11" s="121">
        <f t="shared" si="3"/>
        <v>2586025.5</v>
      </c>
      <c r="F11" s="121">
        <f t="shared" si="3"/>
        <v>3092489.5</v>
      </c>
      <c r="G11" s="121">
        <f t="shared" si="3"/>
        <v>4371920.5</v>
      </c>
      <c r="H11" s="121">
        <f t="shared" si="3"/>
        <v>1746615.5</v>
      </c>
      <c r="I11" s="121">
        <f t="shared" si="3"/>
        <v>1744328.5</v>
      </c>
      <c r="J11" s="123">
        <f t="shared" si="0"/>
        <v>28428320.5</v>
      </c>
    </row>
    <row r="12" spans="2:11" x14ac:dyDescent="0.25">
      <c r="B12" s="45" t="s">
        <v>19</v>
      </c>
      <c r="C12" s="121">
        <v>3444936</v>
      </c>
      <c r="D12" s="121">
        <v>119851</v>
      </c>
      <c r="E12" s="121">
        <f>32126+13270</f>
        <v>45396</v>
      </c>
      <c r="F12" s="121">
        <v>1009287</v>
      </c>
      <c r="G12" s="121">
        <v>1906564</v>
      </c>
      <c r="H12" s="121">
        <f>40022+50042</f>
        <v>90064</v>
      </c>
      <c r="I12" s="121">
        <v>273774</v>
      </c>
      <c r="J12" s="123">
        <f t="shared" si="0"/>
        <v>3444936</v>
      </c>
    </row>
    <row r="13" spans="2:11" x14ac:dyDescent="0.25">
      <c r="B13" s="45" t="s">
        <v>54</v>
      </c>
      <c r="C13" s="121">
        <v>3868601</v>
      </c>
      <c r="D13" s="121">
        <v>2974073</v>
      </c>
      <c r="E13" s="121">
        <f>2053929-765207-963230</f>
        <v>325492</v>
      </c>
      <c r="F13" s="121">
        <f>575968-320411</f>
        <v>255557</v>
      </c>
      <c r="G13" s="121">
        <v>103616</v>
      </c>
      <c r="H13" s="121">
        <v>56281</v>
      </c>
      <c r="I13" s="121">
        <v>153582</v>
      </c>
      <c r="J13" s="123">
        <f t="shared" si="0"/>
        <v>3868601</v>
      </c>
    </row>
    <row r="14" spans="2:11" x14ac:dyDescent="0.25">
      <c r="B14" s="45" t="s">
        <v>55</v>
      </c>
      <c r="C14" s="121">
        <v>1438556</v>
      </c>
      <c r="D14" s="121">
        <v>360722</v>
      </c>
      <c r="E14" s="121">
        <v>110106</v>
      </c>
      <c r="F14" s="121">
        <f>20000*26</f>
        <v>520000</v>
      </c>
      <c r="G14" s="121">
        <v>70000</v>
      </c>
      <c r="H14" s="121">
        <v>20213</v>
      </c>
      <c r="I14" s="121">
        <v>357515</v>
      </c>
      <c r="J14" s="123">
        <f t="shared" si="0"/>
        <v>1438556</v>
      </c>
    </row>
    <row r="15" spans="2:11" x14ac:dyDescent="0.25">
      <c r="B15" s="45" t="s">
        <v>56</v>
      </c>
      <c r="C15" s="121">
        <v>6679634</v>
      </c>
      <c r="D15" s="121">
        <v>2498627</v>
      </c>
      <c r="E15" s="121">
        <f>459633+863476</f>
        <v>1323109</v>
      </c>
      <c r="F15" s="121">
        <v>459633</v>
      </c>
      <c r="G15" s="121">
        <f>459633+500000</f>
        <v>959633</v>
      </c>
      <c r="H15" s="121">
        <f>459633+500000</f>
        <v>959633</v>
      </c>
      <c r="I15" s="121">
        <f>459633-3+19369</f>
        <v>478999</v>
      </c>
      <c r="J15" s="123">
        <f t="shared" si="0"/>
        <v>6679634</v>
      </c>
    </row>
    <row r="16" spans="2:11" x14ac:dyDescent="0.25">
      <c r="B16" s="45" t="s">
        <v>57</v>
      </c>
      <c r="C16" s="121">
        <v>5671395</v>
      </c>
      <c r="D16" s="121">
        <v>2357504</v>
      </c>
      <c r="E16" s="121">
        <v>748719</v>
      </c>
      <c r="F16" s="121">
        <f>431966+347843</f>
        <v>779809</v>
      </c>
      <c r="G16" s="121">
        <f>844023+350000</f>
        <v>1194023</v>
      </c>
      <c r="H16" s="121">
        <v>250000</v>
      </c>
      <c r="I16" s="121">
        <v>341340</v>
      </c>
      <c r="J16" s="123">
        <f t="shared" si="0"/>
        <v>5671395</v>
      </c>
    </row>
    <row r="17" spans="2:10" x14ac:dyDescent="0.25">
      <c r="B17" s="45" t="s">
        <v>58</v>
      </c>
      <c r="C17" s="121">
        <v>7106756</v>
      </c>
      <c r="D17" s="121">
        <v>6454747</v>
      </c>
      <c r="E17" s="121">
        <v>15000</v>
      </c>
      <c r="F17" s="121">
        <v>50000</v>
      </c>
      <c r="G17" s="121">
        <f>5804+18053+96024</f>
        <v>119881</v>
      </c>
      <c r="H17" s="121">
        <f>202221-100000+250000</f>
        <v>352221</v>
      </c>
      <c r="I17" s="121">
        <v>114907</v>
      </c>
      <c r="J17" s="123">
        <f t="shared" si="0"/>
        <v>7106756</v>
      </c>
    </row>
    <row r="18" spans="2:10" x14ac:dyDescent="0.25">
      <c r="B18" s="45" t="s">
        <v>59</v>
      </c>
      <c r="C18" s="121">
        <v>218442</v>
      </c>
      <c r="D18" s="121">
        <v>121417</v>
      </c>
      <c r="E18" s="121">
        <v>18203.5</v>
      </c>
      <c r="F18" s="121">
        <v>18203.5</v>
      </c>
      <c r="G18" s="121">
        <v>18203.5</v>
      </c>
      <c r="H18" s="121">
        <v>18203.5</v>
      </c>
      <c r="I18" s="121">
        <f>18203.5+4202+1806</f>
        <v>24211.5</v>
      </c>
      <c r="J18" s="123">
        <f t="shared" si="0"/>
        <v>218442.5</v>
      </c>
    </row>
    <row r="19" spans="2:10" x14ac:dyDescent="0.25">
      <c r="B19" s="46" t="s">
        <v>431</v>
      </c>
      <c r="C19" s="121">
        <v>417106</v>
      </c>
      <c r="D19" s="121">
        <v>417086</v>
      </c>
      <c r="E19" s="122"/>
      <c r="F19" s="122"/>
      <c r="G19" s="122"/>
      <c r="H19" s="122"/>
      <c r="I19" s="122"/>
      <c r="J19" s="123">
        <f t="shared" si="0"/>
        <v>417086</v>
      </c>
    </row>
    <row r="20" spans="2:10" x14ac:dyDescent="0.25">
      <c r="B20" s="46" t="s">
        <v>20</v>
      </c>
      <c r="C20" s="121">
        <v>72307</v>
      </c>
      <c r="D20" s="121">
        <v>12182</v>
      </c>
      <c r="E20" s="122"/>
      <c r="F20" s="122"/>
      <c r="G20" s="122">
        <v>60125</v>
      </c>
      <c r="H20" s="122"/>
      <c r="I20" s="122"/>
      <c r="J20" s="123">
        <f t="shared" si="0"/>
        <v>72307</v>
      </c>
    </row>
    <row r="21" spans="2:10" x14ac:dyDescent="0.25">
      <c r="B21" s="46" t="s">
        <v>21</v>
      </c>
      <c r="C21" s="121">
        <f>+C22+C23</f>
        <v>515896</v>
      </c>
      <c r="D21" s="121">
        <f>+D22+D23</f>
        <v>220979</v>
      </c>
      <c r="E21" s="122"/>
      <c r="F21" s="122"/>
      <c r="G21" s="122">
        <v>294917</v>
      </c>
      <c r="H21" s="122"/>
      <c r="I21" s="122"/>
      <c r="J21" s="123">
        <f t="shared" si="0"/>
        <v>515896</v>
      </c>
    </row>
    <row r="22" spans="2:10" x14ac:dyDescent="0.25">
      <c r="B22" s="46" t="s">
        <v>61</v>
      </c>
      <c r="C22" s="121">
        <v>515896</v>
      </c>
      <c r="D22" s="121">
        <v>220979</v>
      </c>
      <c r="E22" s="122"/>
      <c r="F22" s="122"/>
      <c r="G22" s="122">
        <f>+G21</f>
        <v>294917</v>
      </c>
      <c r="H22" s="122"/>
      <c r="I22" s="122"/>
      <c r="J22" s="123">
        <f t="shared" si="0"/>
        <v>515896</v>
      </c>
    </row>
    <row r="23" spans="2:10" hidden="1" x14ac:dyDescent="0.25">
      <c r="B23" s="46" t="s">
        <v>63</v>
      </c>
      <c r="C23" s="18">
        <v>0</v>
      </c>
      <c r="E23" s="118"/>
      <c r="F23" s="118"/>
      <c r="G23" s="118"/>
      <c r="H23" s="118"/>
      <c r="I23" s="118"/>
      <c r="J23" s="28">
        <f t="shared" si="0"/>
        <v>0</v>
      </c>
    </row>
    <row r="24" spans="2:10" hidden="1" x14ac:dyDescent="0.25">
      <c r="B24" s="46" t="s">
        <v>22</v>
      </c>
      <c r="C24" s="18">
        <v>0</v>
      </c>
      <c r="J24" s="28">
        <f t="shared" si="0"/>
        <v>0</v>
      </c>
    </row>
    <row r="25" spans="2:10" x14ac:dyDescent="0.25">
      <c r="J25" s="28">
        <f t="shared" si="0"/>
        <v>0</v>
      </c>
    </row>
    <row r="27" spans="2:10" x14ac:dyDescent="0.25">
      <c r="C27" s="117"/>
    </row>
    <row r="28" spans="2:10" x14ac:dyDescent="0.25">
      <c r="C28" s="28"/>
    </row>
  </sheetData>
  <phoneticPr fontId="3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1"/>
  <sheetViews>
    <sheetView topLeftCell="A2" workbookViewId="0">
      <selection activeCell="F27" sqref="F27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</cols>
  <sheetData>
    <row r="1" spans="2:16" s="2" customFormat="1" ht="21" x14ac:dyDescent="0.35">
      <c r="C1" s="3" t="s">
        <v>37</v>
      </c>
    </row>
    <row r="2" spans="2:16" ht="29.25" customHeight="1" x14ac:dyDescent="0.25">
      <c r="C2" s="4" t="s">
        <v>441</v>
      </c>
    </row>
    <row r="3" spans="2:16" x14ac:dyDescent="0.25">
      <c r="C3" s="5"/>
    </row>
    <row r="4" spans="2:16" ht="15.75" x14ac:dyDescent="0.25">
      <c r="B4" s="1"/>
      <c r="C4" s="145" t="s">
        <v>38</v>
      </c>
      <c r="D4" s="146"/>
      <c r="E4" s="146"/>
      <c r="F4" s="146"/>
      <c r="G4" s="146"/>
      <c r="H4" s="146"/>
      <c r="I4" s="146"/>
      <c r="J4" s="146"/>
      <c r="K4" s="146"/>
      <c r="L4" s="147"/>
    </row>
    <row r="5" spans="2:16" x14ac:dyDescent="0.25">
      <c r="C5" s="148" t="s">
        <v>39</v>
      </c>
      <c r="D5" s="148"/>
      <c r="E5" s="148" t="s">
        <v>40</v>
      </c>
      <c r="F5" s="148"/>
      <c r="G5" s="148" t="s">
        <v>41</v>
      </c>
      <c r="H5" s="148"/>
      <c r="I5" s="148" t="s">
        <v>42</v>
      </c>
      <c r="J5" s="148"/>
      <c r="K5" s="148" t="s">
        <v>43</v>
      </c>
      <c r="L5" s="148"/>
    </row>
    <row r="6" spans="2:16" x14ac:dyDescent="0.25">
      <c r="C6" s="6" t="s">
        <v>44</v>
      </c>
      <c r="D6" s="7" t="s">
        <v>45</v>
      </c>
      <c r="E6" s="6" t="s">
        <v>44</v>
      </c>
      <c r="F6" s="6" t="s">
        <v>45</v>
      </c>
      <c r="G6" s="6" t="s">
        <v>44</v>
      </c>
      <c r="H6" s="6" t="s">
        <v>45</v>
      </c>
      <c r="I6" s="6" t="s">
        <v>44</v>
      </c>
      <c r="J6" s="6" t="s">
        <v>45</v>
      </c>
      <c r="K6" s="6" t="s">
        <v>44</v>
      </c>
      <c r="L6" s="6" t="s">
        <v>45</v>
      </c>
      <c r="O6" s="25"/>
      <c r="P6" s="25"/>
    </row>
    <row r="7" spans="2:16" ht="15.75" x14ac:dyDescent="0.25">
      <c r="C7" s="8">
        <v>1</v>
      </c>
      <c r="D7" s="9" t="e">
        <f>+#REF!</f>
        <v>#REF!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6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/>
      <c r="K8" s="15">
        <v>30</v>
      </c>
      <c r="L8" s="16"/>
      <c r="N8" s="17"/>
      <c r="O8" s="18"/>
    </row>
    <row r="9" spans="2:16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6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6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6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6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6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6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6" ht="15.75" thickBot="1" x14ac:dyDescent="0.3">
      <c r="D16" s="25"/>
      <c r="E16" s="25"/>
      <c r="F16" s="25"/>
      <c r="G16" s="25"/>
      <c r="H16" s="25"/>
      <c r="I16" s="25"/>
      <c r="J16" s="25"/>
      <c r="L16" s="26"/>
    </row>
    <row r="17" spans="3:15" ht="15.75" thickBot="1" x14ac:dyDescent="0.3">
      <c r="D17" s="25"/>
      <c r="E17" s="25"/>
      <c r="F17" s="25"/>
      <c r="G17" s="25"/>
      <c r="H17" s="149" t="s">
        <v>46</v>
      </c>
      <c r="I17" s="150"/>
      <c r="J17" s="27" t="e">
        <f>+D7</f>
        <v>#REF!</v>
      </c>
      <c r="L17" s="28"/>
    </row>
    <row r="19" spans="3:15" x14ac:dyDescent="0.25">
      <c r="C19" s="145" t="s">
        <v>47</v>
      </c>
      <c r="D19" s="146"/>
      <c r="E19" s="146"/>
      <c r="F19" s="146"/>
      <c r="G19" s="146"/>
      <c r="H19" s="146"/>
      <c r="I19" s="146"/>
      <c r="J19" s="146"/>
      <c r="K19" s="146"/>
      <c r="L19" s="147"/>
    </row>
    <row r="20" spans="3:15" x14ac:dyDescent="0.25">
      <c r="C20" s="148" t="s">
        <v>39</v>
      </c>
      <c r="D20" s="148"/>
      <c r="E20" s="148" t="s">
        <v>40</v>
      </c>
      <c r="F20" s="148"/>
      <c r="G20" s="148" t="s">
        <v>41</v>
      </c>
      <c r="H20" s="148"/>
      <c r="I20" s="148" t="s">
        <v>42</v>
      </c>
      <c r="J20" s="148"/>
      <c r="K20" s="148" t="s">
        <v>43</v>
      </c>
      <c r="L20" s="148"/>
    </row>
    <row r="21" spans="3:15" x14ac:dyDescent="0.25">
      <c r="C21" s="6" t="s">
        <v>44</v>
      </c>
      <c r="D21" s="7" t="s">
        <v>45</v>
      </c>
      <c r="E21" s="6" t="s">
        <v>44</v>
      </c>
      <c r="F21" s="6" t="s">
        <v>45</v>
      </c>
      <c r="G21" s="6" t="s">
        <v>44</v>
      </c>
      <c r="H21" s="6" t="s">
        <v>45</v>
      </c>
      <c r="I21" s="6" t="s">
        <v>44</v>
      </c>
      <c r="J21" s="6" t="s">
        <v>45</v>
      </c>
      <c r="K21" s="6" t="s">
        <v>44</v>
      </c>
      <c r="L21" s="6" t="s">
        <v>45</v>
      </c>
    </row>
    <row r="22" spans="3:15" ht="15.75" x14ac:dyDescent="0.25">
      <c r="C22" s="8">
        <v>1</v>
      </c>
      <c r="D22" s="9"/>
      <c r="E22" s="10">
        <v>8</v>
      </c>
      <c r="F22" s="9"/>
      <c r="G22" s="11">
        <v>15</v>
      </c>
      <c r="H22" s="25"/>
      <c r="I22" s="11">
        <v>22</v>
      </c>
      <c r="J22" s="9"/>
      <c r="K22" s="11">
        <v>29</v>
      </c>
      <c r="L22" s="13"/>
    </row>
    <row r="23" spans="3:15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5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6"/>
      <c r="K24" s="15">
        <v>31</v>
      </c>
      <c r="L24" s="16"/>
      <c r="O24" s="18"/>
    </row>
    <row r="25" spans="3:15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6"/>
      <c r="K25" s="15"/>
      <c r="L25" s="16"/>
      <c r="O25" s="18"/>
    </row>
    <row r="26" spans="3:15" x14ac:dyDescent="0.25">
      <c r="C26" s="14">
        <v>5</v>
      </c>
      <c r="D26" s="30"/>
      <c r="E26" s="15">
        <v>12</v>
      </c>
      <c r="F26" s="12" t="e">
        <f>+#REF!</f>
        <v>#REF!</v>
      </c>
      <c r="G26" s="15">
        <v>19</v>
      </c>
      <c r="H26" s="12"/>
      <c r="I26" s="15">
        <v>26</v>
      </c>
      <c r="J26" s="16"/>
      <c r="K26" s="15"/>
      <c r="L26" s="16"/>
      <c r="O26" s="18"/>
    </row>
    <row r="27" spans="3:15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6"/>
      <c r="K27" s="15"/>
      <c r="L27" s="16"/>
    </row>
    <row r="28" spans="3:15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6"/>
      <c r="K28" s="15"/>
      <c r="L28" s="16"/>
    </row>
    <row r="29" spans="3:15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5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5" ht="15.75" thickBot="1" x14ac:dyDescent="0.3">
      <c r="D31" s="31"/>
      <c r="E31" s="31"/>
      <c r="F31" s="31"/>
      <c r="G31" s="31"/>
      <c r="H31" s="31"/>
      <c r="I31" s="31"/>
      <c r="J31" s="31"/>
      <c r="O31" s="25"/>
    </row>
    <row r="32" spans="3:15" ht="15.75" thickBot="1" x14ac:dyDescent="0.3">
      <c r="H32" s="149" t="s">
        <v>48</v>
      </c>
      <c r="I32" s="150"/>
      <c r="J32" s="27" t="e">
        <f>+F26</f>
        <v>#REF!</v>
      </c>
      <c r="L32" s="32"/>
      <c r="N32" s="33"/>
    </row>
    <row r="33" spans="2:12" ht="15.75" thickBot="1" x14ac:dyDescent="0.3">
      <c r="H33" s="151"/>
      <c r="I33" s="152"/>
    </row>
    <row r="34" spans="2:12" ht="15.75" thickBot="1" x14ac:dyDescent="0.3">
      <c r="H34" s="149" t="s">
        <v>49</v>
      </c>
      <c r="I34" s="150"/>
      <c r="J34" s="27" t="e">
        <f>+J32+J17</f>
        <v>#REF!</v>
      </c>
      <c r="K34" s="34"/>
      <c r="L34" s="25"/>
    </row>
    <row r="35" spans="2:12" x14ac:dyDescent="0.25">
      <c r="B35" s="35" t="s">
        <v>50</v>
      </c>
    </row>
    <row r="36" spans="2:12" x14ac:dyDescent="0.25">
      <c r="B36" s="36"/>
      <c r="C36" s="153"/>
      <c r="D36" s="153"/>
      <c r="E36" s="153"/>
      <c r="F36" s="153"/>
      <c r="G36" s="153"/>
      <c r="H36" s="153"/>
      <c r="I36" s="153"/>
      <c r="J36" s="153"/>
      <c r="K36" s="153"/>
      <c r="L36" s="154"/>
    </row>
    <row r="37" spans="2:12" x14ac:dyDescent="0.25">
      <c r="B37" s="37"/>
      <c r="C37" s="155"/>
      <c r="D37" s="155"/>
      <c r="E37" s="155"/>
      <c r="F37" s="155"/>
      <c r="G37" s="155"/>
      <c r="H37" s="155"/>
      <c r="I37" s="155"/>
      <c r="J37" s="155"/>
      <c r="K37" s="155"/>
      <c r="L37" s="156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  <mergeCell ref="C4:L4"/>
    <mergeCell ref="C5:D5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estado tramitacion </vt:lpstr>
      <vt:lpstr>PROY PROGRAMAS 24</vt:lpstr>
      <vt:lpstr>PROY 22 29 P01</vt:lpstr>
      <vt:lpstr>convenios</vt:lpstr>
      <vt:lpstr>Caja Diaria SPD  </vt:lpstr>
      <vt:lpstr>FLujo de Caja 2024CAVD</vt:lpstr>
      <vt:lpstr>Caja Diaria CAVD (2)</vt:lpstr>
      <vt:lpstr>Hoja1</vt:lpstr>
      <vt:lpstr>Caja Diaria SPD</vt:lpstr>
      <vt:lpstr>Hoja2</vt:lpstr>
      <vt:lpstr>Caja Diaria CAVD</vt:lpstr>
      <vt:lpstr>'FLujo de Caja 2024CAVD'!Área_de_impresión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Romero Fuentes</dc:creator>
  <cp:lastModifiedBy>Paulina Lara Lara</cp:lastModifiedBy>
  <cp:lastPrinted>2025-03-28T18:06:58Z</cp:lastPrinted>
  <dcterms:created xsi:type="dcterms:W3CDTF">2012-06-22T13:06:00Z</dcterms:created>
  <dcterms:modified xsi:type="dcterms:W3CDTF">2025-03-28T18:36:19Z</dcterms:modified>
</cp:coreProperties>
</file>